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B2E9815-BAD9-4192-94CE-02374DBFA485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Orçamento Follador" sheetId="1" r:id="rId1"/>
    <sheet name="Orçamento Bucior" sheetId="2" r:id="rId2"/>
    <sheet name="Orçamento Wawruch" sheetId="3" r:id="rId3"/>
    <sheet name="Cronograma" sheetId="4" r:id="rId4"/>
    <sheet name="BDI" sheetId="5" r:id="rId5"/>
    <sheet name="Plan1" sheetId="6" r:id="rId6"/>
  </sheets>
  <definedNames>
    <definedName name="_xlnm.Print_Area" localSheetId="4">BDI!$A$1:$AIP$53</definedName>
    <definedName name="_xlnm.Print_Area" localSheetId="3">Cronograma!$A$1:$L$40</definedName>
    <definedName name="_xlnm.Print_Area" localSheetId="1">'Orçamento Bucior'!$A$1:$J$50</definedName>
    <definedName name="_xlnm.Print_Area" localSheetId="0">'Orçamento Follador'!$A$1:$J$50</definedName>
    <definedName name="_xlnm.Print_Area" localSheetId="2">'Orçamento Wawruch'!$A$1:$J$71</definedName>
    <definedName name="OLE_LINK2" localSheetId="2">'Orçamento Wawruch'!$D$35</definedName>
    <definedName name="OLE_LINK3" localSheetId="2">'Orçamento Wawruch'!$D$41</definedName>
    <definedName name="OLE_LINK5" localSheetId="2">#REF!</definedName>
    <definedName name="OLE_LINK6" localSheetId="2">'Orçamento Wawruch'!$D$49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6" l="1"/>
  <c r="G46" i="5" l="1"/>
  <c r="G45" i="5"/>
  <c r="G44" i="5"/>
  <c r="G43" i="5"/>
  <c r="E42" i="5"/>
  <c r="C42" i="5"/>
  <c r="G41" i="5" s="1"/>
  <c r="E40" i="5"/>
  <c r="G39" i="5" s="1"/>
  <c r="C40" i="5"/>
  <c r="E38" i="5"/>
  <c r="C38" i="5"/>
  <c r="G37" i="5" s="1"/>
  <c r="E36" i="5"/>
  <c r="C36" i="5"/>
  <c r="G35" i="5" s="1"/>
  <c r="Q35" i="5"/>
  <c r="Q34" i="5"/>
  <c r="E34" i="5"/>
  <c r="C34" i="5"/>
  <c r="AC32" i="5"/>
  <c r="AA32" i="5"/>
  <c r="Z32" i="5"/>
  <c r="AB31" i="5"/>
  <c r="Z31" i="5"/>
  <c r="Y31" i="5"/>
  <c r="X31" i="5"/>
  <c r="W31" i="5"/>
  <c r="I11" i="5"/>
  <c r="I55" i="3"/>
  <c r="H55" i="3"/>
  <c r="I54" i="3"/>
  <c r="J54" i="3" s="1"/>
  <c r="H54" i="3"/>
  <c r="F54" i="3"/>
  <c r="F55" i="3" s="1"/>
  <c r="H51" i="3"/>
  <c r="G51" i="3"/>
  <c r="I51" i="3" s="1"/>
  <c r="J51" i="3" s="1"/>
  <c r="J50" i="3"/>
  <c r="I50" i="3"/>
  <c r="H50" i="3"/>
  <c r="I49" i="3"/>
  <c r="J49" i="3" s="1"/>
  <c r="H49" i="3"/>
  <c r="J48" i="3"/>
  <c r="I48" i="3"/>
  <c r="H48" i="3"/>
  <c r="I47" i="3"/>
  <c r="J47" i="3" s="1"/>
  <c r="H47" i="3"/>
  <c r="J46" i="3"/>
  <c r="I46" i="3"/>
  <c r="H46" i="3"/>
  <c r="I45" i="3"/>
  <c r="J45" i="3" s="1"/>
  <c r="H45" i="3"/>
  <c r="I44" i="3"/>
  <c r="J44" i="3" s="1"/>
  <c r="H44" i="3"/>
  <c r="I43" i="3"/>
  <c r="J43" i="3" s="1"/>
  <c r="H43" i="3"/>
  <c r="I42" i="3"/>
  <c r="J42" i="3" s="1"/>
  <c r="H42" i="3"/>
  <c r="I41" i="3"/>
  <c r="J41" i="3" s="1"/>
  <c r="H41" i="3"/>
  <c r="J40" i="3"/>
  <c r="I40" i="3"/>
  <c r="H40" i="3"/>
  <c r="I39" i="3"/>
  <c r="J39" i="3" s="1"/>
  <c r="H39" i="3"/>
  <c r="I38" i="3"/>
  <c r="J38" i="3" s="1"/>
  <c r="H38" i="3"/>
  <c r="I37" i="3"/>
  <c r="J37" i="3" s="1"/>
  <c r="H37" i="3"/>
  <c r="I36" i="3"/>
  <c r="J36" i="3" s="1"/>
  <c r="H36" i="3"/>
  <c r="I35" i="3"/>
  <c r="J35" i="3" s="1"/>
  <c r="H35" i="3"/>
  <c r="J34" i="3"/>
  <c r="I34" i="3"/>
  <c r="H34" i="3"/>
  <c r="I33" i="3"/>
  <c r="J33" i="3" s="1"/>
  <c r="H33" i="3"/>
  <c r="I32" i="3"/>
  <c r="J32" i="3" s="1"/>
  <c r="H32" i="3"/>
  <c r="I29" i="3"/>
  <c r="J29" i="3" s="1"/>
  <c r="H29" i="3"/>
  <c r="I28" i="3"/>
  <c r="J28" i="3" s="1"/>
  <c r="H28" i="3"/>
  <c r="I27" i="3"/>
  <c r="J27" i="3" s="1"/>
  <c r="H27" i="3"/>
  <c r="I26" i="3"/>
  <c r="J26" i="3" s="1"/>
  <c r="H26" i="3"/>
  <c r="I25" i="3"/>
  <c r="J25" i="3" s="1"/>
  <c r="H25" i="3"/>
  <c r="I24" i="3"/>
  <c r="J24" i="3" s="1"/>
  <c r="H24" i="3"/>
  <c r="I23" i="3"/>
  <c r="J23" i="3" s="1"/>
  <c r="H23" i="3"/>
  <c r="I22" i="3"/>
  <c r="J22" i="3" s="1"/>
  <c r="H22" i="3"/>
  <c r="I21" i="3"/>
  <c r="J21" i="3" s="1"/>
  <c r="H21" i="3"/>
  <c r="I20" i="3"/>
  <c r="J20" i="3" s="1"/>
  <c r="H20" i="3"/>
  <c r="I19" i="3"/>
  <c r="J19" i="3" s="1"/>
  <c r="H19" i="3"/>
  <c r="I18" i="3"/>
  <c r="J18" i="3" s="1"/>
  <c r="H18" i="3"/>
  <c r="I34" i="2"/>
  <c r="I33" i="2"/>
  <c r="F33" i="2"/>
  <c r="F34" i="2" s="1"/>
  <c r="I25" i="2"/>
  <c r="J25" i="2" s="1"/>
  <c r="H25" i="2"/>
  <c r="I24" i="2"/>
  <c r="J24" i="2" s="1"/>
  <c r="H24" i="2"/>
  <c r="I23" i="2"/>
  <c r="J23" i="2" s="1"/>
  <c r="H23" i="2"/>
  <c r="I22" i="2"/>
  <c r="J22" i="2" s="1"/>
  <c r="H22" i="2"/>
  <c r="I21" i="2"/>
  <c r="J21" i="2" s="1"/>
  <c r="H21" i="2"/>
  <c r="I20" i="2"/>
  <c r="J20" i="2" s="1"/>
  <c r="H20" i="2"/>
  <c r="I19" i="2"/>
  <c r="J19" i="2" s="1"/>
  <c r="H19" i="2"/>
  <c r="I18" i="2"/>
  <c r="J18" i="2" s="1"/>
  <c r="H18" i="2"/>
  <c r="I34" i="1"/>
  <c r="H34" i="1"/>
  <c r="I33" i="1"/>
  <c r="H33" i="1"/>
  <c r="F33" i="1"/>
  <c r="F34" i="1" s="1"/>
  <c r="J30" i="1"/>
  <c r="I30" i="1"/>
  <c r="H30" i="1"/>
  <c r="I29" i="1"/>
  <c r="J29" i="1" s="1"/>
  <c r="H29" i="1"/>
  <c r="I28" i="1"/>
  <c r="J28" i="1" s="1"/>
  <c r="H28" i="1"/>
  <c r="I27" i="1"/>
  <c r="J27" i="1" s="1"/>
  <c r="H27" i="1"/>
  <c r="I26" i="1"/>
  <c r="J26" i="1" s="1"/>
  <c r="H26" i="1"/>
  <c r="I25" i="1"/>
  <c r="J25" i="1" s="1"/>
  <c r="H25" i="1"/>
  <c r="I24" i="1"/>
  <c r="J24" i="1" s="1"/>
  <c r="H24" i="1"/>
  <c r="I23" i="1"/>
  <c r="J23" i="1" s="1"/>
  <c r="H23" i="1"/>
  <c r="J22" i="1"/>
  <c r="I22" i="1"/>
  <c r="H22" i="1"/>
  <c r="J21" i="1"/>
  <c r="I21" i="1"/>
  <c r="H21" i="1"/>
  <c r="J20" i="1"/>
  <c r="I20" i="1"/>
  <c r="H20" i="1"/>
  <c r="I19" i="1"/>
  <c r="J19" i="1" s="1"/>
  <c r="H19" i="1"/>
  <c r="I18" i="1"/>
  <c r="J18" i="1" s="1"/>
  <c r="H18" i="1"/>
  <c r="B23" i="5" l="1"/>
  <c r="AD32" i="5" s="1"/>
  <c r="J55" i="3"/>
  <c r="G33" i="5"/>
  <c r="J33" i="1"/>
  <c r="J31" i="1"/>
  <c r="J52" i="3"/>
  <c r="J33" i="2"/>
  <c r="J34" i="2"/>
  <c r="F17" i="5"/>
  <c r="B17" i="5" s="1"/>
  <c r="J31" i="2"/>
  <c r="J30" i="3"/>
  <c r="J34" i="1"/>
  <c r="J36" i="1" s="1"/>
  <c r="G40" i="1" s="1"/>
  <c r="F23" i="4" s="1"/>
  <c r="J57" i="3"/>
  <c r="G61" i="3" s="1"/>
  <c r="F25" i="4" s="1"/>
  <c r="J36" i="2" l="1"/>
  <c r="G40" i="2" s="1"/>
  <c r="F24" i="4" s="1"/>
  <c r="J23" i="4"/>
  <c r="H23" i="4"/>
  <c r="J25" i="4"/>
  <c r="H24" i="4" l="1"/>
  <c r="F27" i="4"/>
  <c r="H29" i="4"/>
  <c r="G29" i="4" s="1"/>
  <c r="G30" i="4" s="1"/>
  <c r="H30" i="4"/>
  <c r="J29" i="4"/>
  <c r="E24" i="4"/>
  <c r="E23" i="4" l="1"/>
  <c r="E25" i="4"/>
  <c r="J30" i="4"/>
  <c r="I29" i="4"/>
  <c r="I30" i="4" s="1"/>
</calcChain>
</file>

<file path=xl/sharedStrings.xml><?xml version="1.0" encoding="utf-8"?>
<sst xmlns="http://schemas.openxmlformats.org/spreadsheetml/2006/main" count="410" uniqueCount="196">
  <si>
    <t xml:space="preserve">PLANILHA DE ORÇAMENTO BÁSICO </t>
  </si>
  <si>
    <t>Município: Barão de Cotegipe - RS</t>
  </si>
  <si>
    <t>Obra: Ampliação de Sistema  Simplificado de Abastecimento de Água</t>
  </si>
  <si>
    <t>BDI DIF:</t>
  </si>
  <si>
    <t>Endereço: Linha Um Follador</t>
  </si>
  <si>
    <t>BDI:</t>
  </si>
  <si>
    <t>Regime  Onerado</t>
  </si>
  <si>
    <t>ITEM</t>
  </si>
  <si>
    <t>Referência</t>
  </si>
  <si>
    <t>Código</t>
  </si>
  <si>
    <t>DISCRIMINAÇÃO</t>
  </si>
  <si>
    <t>UNID</t>
  </si>
  <si>
    <t>QUANT.</t>
  </si>
  <si>
    <t>Preço</t>
  </si>
  <si>
    <t xml:space="preserve"> (Sem BDI)</t>
  </si>
  <si>
    <t>BDI APLICADO</t>
  </si>
  <si>
    <t>(Com BDI)</t>
  </si>
  <si>
    <t>Total c/ BDI</t>
  </si>
  <si>
    <t>1.0</t>
  </si>
  <si>
    <t>DISTRIBUIÇÃO</t>
  </si>
  <si>
    <t>Mercado</t>
  </si>
  <si>
    <t>Insumo</t>
  </si>
  <si>
    <t>VÁLVULA REDUTORA DE PRESSÃO 1” DN  20</t>
  </si>
  <si>
    <t>TUBO PEAD 32x2,30mm PN8</t>
  </si>
  <si>
    <t>M</t>
  </si>
  <si>
    <t>ADAPTADOR DE COMPRESSÃO PP PEAD 32mm</t>
  </si>
  <si>
    <t>TEE DE COMPRESSÃO PP PEAD 32mm</t>
  </si>
  <si>
    <t>TUBO PEAD 25x1,90mm PN8</t>
  </si>
  <si>
    <t>UNIÃO DE COMPRESSÃO PP PEAD 25mm</t>
  </si>
  <si>
    <t>ADAPTADOR DE COMPRESSÃO PP PEAD 25 X ¾</t>
  </si>
  <si>
    <t>TEE DE COMPRESSÃO PP PEAD 25mm</t>
  </si>
  <si>
    <t>TUBO PEAD 20x1,8mm PN8</t>
  </si>
  <si>
    <t>ADAPTADOR DE COMPRESSÃO PP PEAD 20 X ¾</t>
  </si>
  <si>
    <t>KIT CAVALETE ¾</t>
  </si>
  <si>
    <t>SINAPI</t>
  </si>
  <si>
    <t>HIDROMETRO ¾ VAZÃO 3M³/H</t>
  </si>
  <si>
    <t>Mão de obra instalação da tubulação e conexões</t>
  </si>
  <si>
    <t>Sub Total 1</t>
  </si>
  <si>
    <t>ABERTURA E FECHAMENTO DE VALAS</t>
  </si>
  <si>
    <t>REF 102276</t>
  </si>
  <si>
    <t>Abertura de valas  com retroescavadeira (largura 0,50m x profundidade 0,80m)</t>
  </si>
  <si>
    <t>m³</t>
  </si>
  <si>
    <t>Reaterro de valas sem controle de compactação</t>
  </si>
  <si>
    <t>Sub Total 2</t>
  </si>
  <si>
    <t>TOTAL GERAL DO ORÇAMENTO</t>
  </si>
  <si>
    <t>Barão de Cotegipe, 07 de março de 2024</t>
  </si>
  <si>
    <t>Endereço: Linha Gramado – Bucior</t>
  </si>
  <si>
    <t>VÁLVULA REDUTORA DE PRESSÃO ¾</t>
  </si>
  <si>
    <t>TEE DE COMPRESSÃO PP PEAD 20mm</t>
  </si>
  <si>
    <t>UNIÃO DE COMPRESSÃO PP PEAD 20mm</t>
  </si>
  <si>
    <t>ADAPTADOR DE COMPRESSÃO PP PEAD 20x3/4</t>
  </si>
  <si>
    <t>Obra: Ampliação  e reforma de Sistema  Simplificado de Abastecimento de Água</t>
  </si>
  <si>
    <t>Endereço: Povoado Wawruch</t>
  </si>
  <si>
    <t>INSTALAÇÃO DO POÇO ARTESIANO</t>
  </si>
  <si>
    <t>ENTRADA DE ENERGIA MONOFÁSICA COM POSTE METALICO GF PADRAO CPFL//RGE 7,5 METROS</t>
  </si>
  <si>
    <t>BOMBA SUBMERSA  4" MONO 220V. VAZÃO DE 3.2M³/H EM 165MCA 3.5HP 25EST.</t>
  </si>
  <si>
    <t>QUADRO DE COMANDO 220V.</t>
  </si>
  <si>
    <t>TUBO GALVANIZADO 1.1/4"X2,65MM</t>
  </si>
  <si>
    <t>LUVA 1-1/4 GALV.</t>
  </si>
  <si>
    <t>CABO FLEXIVEL MULTICONDUTOR HEPR 1KV 90 3 X 10,0 MM</t>
  </si>
  <si>
    <t>TAMPA DE POCO 6" LISA C/FURO 1.1/4" S/F MONIT GG20</t>
  </si>
  <si>
    <t>CURVA 90 MACHO 1-1/4 GALV.</t>
  </si>
  <si>
    <t>UNIAO A C BRONZE 1-1/4 GALV.</t>
  </si>
  <si>
    <t>NIPLE DUPLO 1-1/4 GALV.</t>
  </si>
  <si>
    <t>VALVULA RETENCAO COM PORTINHOLA ANEL DE VEDACAO EM SILICONE DIAM 1 1/4 CLASSE 125S</t>
  </si>
  <si>
    <t>CURVA 45 M&amp;F 1-1/4</t>
  </si>
  <si>
    <t>2.0</t>
  </si>
  <si>
    <t>REDE DE ADUÇÃO / RESERVATÓRIO / DISTRIBUIÇÃO</t>
  </si>
  <si>
    <t>TUBO PEAD 40X2,4MM PN08</t>
  </si>
  <si>
    <t>ADAPTADOR DE COMP. PP pPEAD R. M. 40 x 1 1/4</t>
  </si>
  <si>
    <t>UNIAO DE COMPRESSAO PP P PEAD 40MM</t>
  </si>
  <si>
    <t>CABO FLEXIVEL MULTICONDUTOR HEPR 1KV 90 2 X 1,5MM</t>
  </si>
  <si>
    <t>CHAVE BOIA ELÉTRICA UNIPOLAR 16A SUPERIOR E INFERIOR CABO 1,2M</t>
  </si>
  <si>
    <t>ADAPTADOR SOLDAVEL COM FLANGE P/ CX D'AGUA LR DE 40mm X 1.1/4"</t>
  </si>
  <si>
    <t>REGISTRO DE ESFERA SOLDAVEL C/ UNIAO DE 40MM</t>
  </si>
  <si>
    <t>LUVA SOLDAVEL C/ ROSCA LR DE 40mm X 1.1/4"</t>
  </si>
  <si>
    <t>TE SOLDAVEL DE 40mm</t>
  </si>
  <si>
    <t>CX PARA AGUA EM FIBRA DE VIDRO  10.000LTS</t>
  </si>
  <si>
    <t>BASE DE APOIO DE RESERVATÓRIO 3X3X0,15 M</t>
  </si>
  <si>
    <t>TUBO PEAD 25X1,9 PN8</t>
  </si>
  <si>
    <t>UNIAO DE COMPRESSAO PP P PEAD 25MM</t>
  </si>
  <si>
    <t>ADAPTADOR DE COMP. PP pPEAD R. M. 25 X 3/4</t>
  </si>
  <si>
    <t>TUBO PEAD 20X1,8MM PN08</t>
  </si>
  <si>
    <t>UNIAO DE COMPRESSAO PP P PEAD 20MM</t>
  </si>
  <si>
    <t>ADAPTADOR DE COMP. PP pPEAD R. M. 20 x 3/4</t>
  </si>
  <si>
    <t>KIT CAVALETE 3/4</t>
  </si>
  <si>
    <t>HIDROMETRO UNIJATO 3/4" 3m /h</t>
  </si>
  <si>
    <t>Mão de obra instalação da tubulação, motobomba e conexões</t>
  </si>
  <si>
    <t>3.0</t>
  </si>
  <si>
    <t>CRONOGRAMA FÍSICO FINANCEIRO</t>
  </si>
  <si>
    <t xml:space="preserve">EMPREENDIMENTO: SISTEMA DE DISTRIBUIÇÃO DE ÁGUA </t>
  </si>
  <si>
    <t>LOCAL DA OBRA: LINHA UM FOLLADOR / REDE BUCIOR / POVOADO WAWRUCH</t>
  </si>
  <si>
    <t>PROPONENTE: MUNICÍPIO DE BARÃO DE COTEGIPE - RS</t>
  </si>
  <si>
    <t>Item</t>
  </si>
  <si>
    <t>DISCRIMINAÇÃO DOS SERVIÇOS</t>
  </si>
  <si>
    <t>Peso</t>
  </si>
  <si>
    <t xml:space="preserve">Valor das Obras </t>
  </si>
  <si>
    <t>MESES</t>
  </si>
  <si>
    <t>%</t>
  </si>
  <si>
    <t>e Serviços</t>
  </si>
  <si>
    <t>Mês 1</t>
  </si>
  <si>
    <t>Mês 2</t>
  </si>
  <si>
    <t>(R$)</t>
  </si>
  <si>
    <t>R$</t>
  </si>
  <si>
    <t>Ampliação de rede – Linha Um Folador</t>
  </si>
  <si>
    <t>Ampliação de rede – Linha Gramado Bucior</t>
  </si>
  <si>
    <t>Ampliação e Reforma de rede – Povoado Wawruch</t>
  </si>
  <si>
    <t>TOTAL</t>
  </si>
  <si>
    <t>TOTAL SIMPLES</t>
  </si>
  <si>
    <t>TOTAL ACUMULADO</t>
  </si>
  <si>
    <t xml:space="preserve">QUADRO DE COMPOSIÇÃO DO BDI </t>
  </si>
  <si>
    <t>REDE DE DISTRIBUIÇÃO DE ÁGUA POTÁVEL</t>
  </si>
  <si>
    <t>LINHA FOLLADOR / WAWRUCH / BUCIOR</t>
  </si>
  <si>
    <t>BARÃO DE COTEGIPE / RS</t>
  </si>
  <si>
    <t>Em atenção ao estabelecido pelo Acórdão 2622/2013 – TCU – Plenário reformamos a orientação e indicamos a utilização dos seguintes parâmetros para taxas de BDI:</t>
  </si>
  <si>
    <t>Tipo de obra:</t>
  </si>
  <si>
    <t>Construção de Redes de Abastecimento de Água, Coleta de Esgoto e Construções Correlatas</t>
  </si>
  <si>
    <t>Obras que se enquadram no tipo escolhido:</t>
  </si>
  <si>
    <t>Selecione o CPRB</t>
  </si>
  <si>
    <t>Desonerado</t>
  </si>
  <si>
    <t>Onerado</t>
  </si>
  <si>
    <t>Escolha o tipo de obra</t>
  </si>
  <si>
    <t>Alternativa mais adequada para a Administração Pública:</t>
  </si>
  <si>
    <t>Construção de edifícios</t>
  </si>
  <si>
    <t>Construção de Rodovias e Ferrovias</t>
  </si>
  <si>
    <t>Construção e Manutenção de Estações e Redes de Distribuição de Energia Elétrica</t>
  </si>
  <si>
    <t>Obras Portuárias, Marítimas e Fluviais</t>
  </si>
  <si>
    <t>Fornecimento de Materiais e Equipamentos</t>
  </si>
  <si>
    <t>Para o tipo de obra “Construção de Edifícios” enquadram-se: a construção e reforma de: edifícios, unidades habitacionais, escolas, hospitais, hotéis, restaurantes, armazéns e depósitos, edifícios para uso agropecuário, estações para trens e metropolitanos, estádios esportivos e quadras cobertas, instalações para embarque e desembarque de passageiros (em aeroportos, rodoviárias, portos, etc.), penitenciárias e presídios, a construção de edifícios industriais (fábricas, oficinas, galpões industriais, etc.), conforme classificação 4120-4 do CNAE 2.0. Também enquadram-se pórticos, mirantes e outros edifícios de finalidade turística.</t>
  </si>
  <si>
    <t>Para o tipo de obra “Construção de Rodovias e Ferrovias” enquadram-se: a construção e recuperação de: auto-estradas, rodovias e outras vias não-urbanas para passagem de veículos, vias férreas de superfície ou subterrâneas (inclusive para metropolitanos), pistas de aeroportos. Esta classe compreende também: a pavimentação de auto-estradas, rodovias e outras vias não-urbanas; construção de pontes, viadutos e túneis; a instalação de barreiras acústicas; a construção de praças de pedágio; a sinalização com pintura em rodovias e aeroportos; a instalação de placas de sinalização de tráfego e semelhantes, conforme classificação 4211-1 do CNAE 2.0. Também enquadram-se a construção, pavimentação e sinalização de vias urbanas, ruas e locais para estacionamento de veículos; a construção de praças e calçadas para pedestres; elevados, passarelas e ciclovias; metrô e VLT.</t>
  </si>
  <si>
    <t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t>
  </si>
  <si>
    <t>Para o tipo de obra “Construção e Manutenção de Estações e Redes de Distribuição de Energia Elétrica” enquadram-se: a construção de usinas, estações e subestações hidrelétricas, eólicas, nucleares, termoelétricas; a construção de redes de transmissão e distribuição de energia elétrica, inclusive o serviço de eletrificação rural. Esta subclasse compreende também: a construção de redes de eletrificação para ferrovias e metropolitano, conforme classificação 4221-9/02 do CNAE 2.0. Compreende ainda: a manutenção de redes de distribuição de energia elétrica, quando executada por empresa não-produtora ou distribuidora de energia elétrica, conforme classificação 4221-9/03 do CNAE 2.0. Enquadram-se também obras de iluminação pública e a construção de barragens e represas para geração de energia elétrica.</t>
  </si>
  <si>
    <t xml:space="preserve">Para o tipo de obra “Portuárias, Marítimas e Fluviais” enquadram-se: as obras marítimas e fluviais, tais como, construção de instalações portuárias; construção de portos e marinas; construção de eclusas e canais de navegação (vias navegáveis); enrocamentos; obras de dragagem; aterro hidráulico; barragens, represas e diques, exceto para energia elétrica; a construção de emissários submarinos; a instalação de cabos submarinos, conforme classificação 4291-0 do CNAE 2.0. Enquadram-se também a construção de piers e outras obras com influência direta de cursos d’água. </t>
  </si>
  <si>
    <t>Enquadram-se como “Fornecimento de Materiais e Equipamentos”, conforme tabela apresentada no item 1 desta CE, especificamente o fornecimento de materiais e equipamentos relevantes de natureza específica, como é o caso de: - materiais betuminosos para obras rodoviárias; - tubos de ferro fundido ou PVC para obras de abastecimento de água; - elevadores e escadas rolantes para obras aeroportuárias. Comprovada a inviabilidade técnico-econômica de parcelamento do objeto da licitação, os itens de fornecimento de materiais e equipamentos relevantes de natureza específica, que possam ser fornecidos por empresas com especialidades próprias e diversas e que representem percentual significativo do preço global da obra devem apresentar incidência de taxa de BDI reduzida em relação à taxa aplicável aos demais itens da obra.</t>
  </si>
  <si>
    <t>OBSERVAÇÕES</t>
  </si>
  <si>
    <t>Escolha o regime de contribuição</t>
  </si>
  <si>
    <t>Mín</t>
  </si>
  <si>
    <t>Máx</t>
  </si>
  <si>
    <t>Cálculo s/ os 2%</t>
  </si>
  <si>
    <t>Cálculo c/ os desonerado</t>
  </si>
  <si>
    <r>
      <rPr>
        <sz val="10"/>
        <rFont val="Arial"/>
        <family val="2"/>
        <charset val="1"/>
      </rPr>
      <t xml:space="preserve">Os percentuais de Impostos a serem adotados devem ser indicados pelo Tomador, conforme legislação vigente. </t>
    </r>
    <r>
      <rPr>
        <b/>
        <i/>
        <u/>
        <sz val="10"/>
        <rFont val="Arial"/>
        <family val="2"/>
        <charset val="1"/>
      </rPr>
      <t>Apresentar declaração informando o percentual de ISS incidente sobre esta obra, considerando a base de cálculo prevista na legislação municipal.</t>
    </r>
  </si>
  <si>
    <t>SEM DESONERAÇÃO</t>
  </si>
  <si>
    <t>Parâmetro</t>
  </si>
  <si>
    <t>Verificação</t>
  </si>
  <si>
    <t>DESONERADO</t>
  </si>
  <si>
    <t>Falta preencher algum item do BDI:</t>
  </si>
  <si>
    <t>Administração Central</t>
  </si>
  <si>
    <t>Edifícios</t>
  </si>
  <si>
    <t>Rodovias</t>
  </si>
  <si>
    <t>Redes</t>
  </si>
  <si>
    <t>Mín:</t>
  </si>
  <si>
    <t>Máx:</t>
  </si>
  <si>
    <t>Seguros e Garantias</t>
  </si>
  <si>
    <t>Riscos</t>
  </si>
  <si>
    <t>As tabelas que apresentam os limites foram construídas sem considerar a desoneração sobre a folha de pagamento prevista na Lei n° 12.844/2013. Caso o CNAE da empresa indique que a mesma deve considerar a contribuição previdenciária sobre a receita bruta, será somada a alíquota de 2% no item impostos.</t>
  </si>
  <si>
    <t>Despesas Financeiras</t>
  </si>
  <si>
    <t>Elétrica</t>
  </si>
  <si>
    <t>Portos</t>
  </si>
  <si>
    <t>Equipamentos</t>
  </si>
  <si>
    <t>Lucro</t>
  </si>
  <si>
    <t>Impostos: PIS</t>
  </si>
  <si>
    <t>Impostos: COFINS</t>
  </si>
  <si>
    <t>Impostos: ISS (mun.)</t>
  </si>
  <si>
    <t>Regime de desoneração (4,5%)</t>
  </si>
  <si>
    <t>Barão de Cotegipe, março de 2024</t>
  </si>
  <si>
    <t>COMPOSIÇÃO DE BDI PARA ITENS DE MERO FORNECIMENTO DE MATERIAIS E
EQUIPAMENTOS (Acórdão TCU nº 2622/2013)</t>
  </si>
  <si>
    <t>TIPO DE OBRA DO EMPREENDIMENTO</t>
  </si>
  <si>
    <t>DESONERAÇÃO</t>
  </si>
  <si>
    <t>FORNECIMENTO E TRANSPORTE DE MATERIAIS, FORNECIMENTO DE EQUIPAMENTOS</t>
  </si>
  <si>
    <t>Não</t>
  </si>
  <si>
    <t>Itens</t>
  </si>
  <si>
    <t>Siglas</t>
  </si>
  <si>
    <t>% Adotado</t>
  </si>
  <si>
    <t>1º Quartil</t>
  </si>
  <si>
    <t>Médio</t>
  </si>
  <si>
    <t>3º Quartil</t>
  </si>
  <si>
    <t>AC</t>
  </si>
  <si>
    <t>Seguro e Garantia</t>
  </si>
  <si>
    <t>SG</t>
  </si>
  <si>
    <t>Risco</t>
  </si>
  <si>
    <t>R</t>
  </si>
  <si>
    <t>DF</t>
  </si>
  <si>
    <t>L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</si>
  <si>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</si>
  <si>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</si>
  <si>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</si>
  <si>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</si>
  <si>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</si>
  <si>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</si>
  <si>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 (Fórmula Acórdão TCU)</t>
  </si>
  <si>
    <t>BDI</t>
  </si>
  <si>
    <t>Os valores de BDI foram calculados com o emprego da fórmula:</t>
  </si>
  <si>
    <t>BDI =</t>
  </si>
  <si>
    <t>(1+AC + S + R + G)*(1 + DF)*(1+L)   -1</t>
  </si>
  <si>
    <t>(1-CP-ISS)</t>
  </si>
  <si>
    <t>Declaro para os devidos fins que o regime de Contribuição Previdenciária sobre a Receita Bruta adotado para elaboração do orçamento foi SEM Desoneração, e que esta é a alternativa mais adequada para a Administração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</si>
</sst>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\-??_-;_-@_-"/>
    <numFmt numFmtId="165" formatCode="[$R$-416]\ #,##0.00;[Red]\-[$R$-416]\ #,##0.00"/>
    <numFmt numFmtId="166" formatCode="dd&quot; de &quot;mmmm&quot; de &quot;yyyy"/>
    <numFmt numFmtId="167" formatCode="_(&quot;R$ &quot;* #,##0.00_);_(&quot;R$ &quot;* \(#,##0.00\);_(&quot;R$ &quot;* &quot;-&quot;??_);_(@_)"/>
  </numFmts>
  <fonts count="32" x14ac:knownFonts="1">
    <font>
      <sz val="11"/>
      <color rgb="FF000000"/>
      <name val="Arial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13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9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u/>
      <sz val="10"/>
      <name val="Arial"/>
      <family val="2"/>
      <charset val="1"/>
    </font>
    <font>
      <sz val="14"/>
      <name val="Arial"/>
      <family val="2"/>
      <charset val="1"/>
    </font>
    <font>
      <u/>
      <sz val="10"/>
      <name val="Arial"/>
      <family val="2"/>
      <charset val="1"/>
    </font>
    <font>
      <b/>
      <i/>
      <u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9"/>
      <name val="Arial"/>
      <family val="2"/>
    </font>
    <font>
      <b/>
      <sz val="8"/>
      <name val="Carlito"/>
    </font>
    <font>
      <sz val="9"/>
      <color theme="1"/>
      <name val="Carlito"/>
    </font>
    <font>
      <sz val="10"/>
      <name val="Arial"/>
      <family val="2"/>
    </font>
    <font>
      <b/>
      <u/>
      <sz val="10"/>
      <name val="Carlito"/>
    </font>
    <font>
      <sz val="8"/>
      <name val="Carlito"/>
    </font>
    <font>
      <sz val="8"/>
      <color indexed="9"/>
      <name val="Carlito"/>
    </font>
    <font>
      <b/>
      <sz val="8"/>
      <color indexed="12"/>
      <name val="Carlito"/>
    </font>
    <font>
      <i/>
      <sz val="8"/>
      <name val="Carlito"/>
    </font>
    <font>
      <i/>
      <u/>
      <sz val="8"/>
      <name val="Carlito"/>
    </font>
    <font>
      <sz val="8"/>
      <color theme="1"/>
      <name val="Carlito"/>
    </font>
    <font>
      <u/>
      <sz val="8"/>
      <name val="Carlito"/>
    </font>
    <font>
      <sz val="9"/>
      <name val="Carlito"/>
    </font>
    <font>
      <sz val="1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FFFFFF"/>
        <bgColor rgb="FFFFFFCC"/>
      </patternFill>
    </fill>
    <fill>
      <patternFill patternType="solid">
        <fgColor rgb="FFFFE699"/>
        <bgColor rgb="FFFFFF99"/>
      </patternFill>
    </fill>
    <fill>
      <patternFill patternType="solid">
        <fgColor rgb="FFDAE3F3"/>
        <bgColor rgb="FFDEEBF7"/>
      </patternFill>
    </fill>
    <fill>
      <patternFill patternType="solid">
        <fgColor rgb="FFFFFF99"/>
        <bgColor rgb="FFFFFFCC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164" fontId="3" fillId="0" borderId="0" applyBorder="0" applyProtection="0"/>
    <xf numFmtId="9" fontId="2" fillId="0" borderId="0" applyBorder="0" applyProtection="0"/>
    <xf numFmtId="0" fontId="18" fillId="0" borderId="0"/>
    <xf numFmtId="167" fontId="21" fillId="0" borderId="0" applyFont="0" applyFill="0" applyBorder="0" applyAlignment="0" applyProtection="0"/>
    <xf numFmtId="0" fontId="1" fillId="0" borderId="0"/>
    <xf numFmtId="0" fontId="21" fillId="0" borderId="0"/>
  </cellStyleXfs>
  <cellXfs count="179"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2" fillId="0" borderId="0" xfId="1" applyFont="1" applyBorder="1" applyProtection="1"/>
    <xf numFmtId="0" fontId="4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10" fontId="2" fillId="0" borderId="0" xfId="2" applyNumberFormat="1" applyBorder="1" applyProtection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164" fontId="2" fillId="2" borderId="3" xfId="1" applyFont="1" applyFill="1" applyBorder="1" applyAlignment="1" applyProtection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49" fontId="2" fillId="2" borderId="5" xfId="0" applyNumberFormat="1" applyFont="1" applyFill="1" applyBorder="1"/>
    <xf numFmtId="49" fontId="2" fillId="2" borderId="6" xfId="0" applyNumberFormat="1" applyFont="1" applyFill="1" applyBorder="1"/>
    <xf numFmtId="164" fontId="2" fillId="2" borderId="6" xfId="1" applyFont="1" applyFill="1" applyBorder="1" applyProtection="1"/>
    <xf numFmtId="164" fontId="2" fillId="2" borderId="5" xfId="1" applyFont="1" applyFill="1" applyBorder="1" applyAlignment="1" applyProtection="1">
      <alignment horizontal="center"/>
    </xf>
    <xf numFmtId="164" fontId="2" fillId="2" borderId="5" xfId="1" applyFont="1" applyFill="1" applyBorder="1" applyAlignment="1" applyProtection="1">
      <alignment horizontal="center" wrapText="1"/>
    </xf>
    <xf numFmtId="0" fontId="5" fillId="4" borderId="7" xfId="0" applyFont="1" applyFill="1" applyBorder="1"/>
    <xf numFmtId="0" fontId="5" fillId="4" borderId="8" xfId="0" applyFont="1" applyFill="1" applyBorder="1"/>
    <xf numFmtId="0" fontId="6" fillId="4" borderId="4" xfId="0" applyFont="1" applyFill="1" applyBorder="1"/>
    <xf numFmtId="49" fontId="5" fillId="4" borderId="4" xfId="0" applyNumberFormat="1" applyFont="1" applyFill="1" applyBorder="1"/>
    <xf numFmtId="49" fontId="2" fillId="4" borderId="4" xfId="0" applyNumberFormat="1" applyFont="1" applyFill="1" applyBorder="1" applyAlignment="1">
      <alignment horizontal="right"/>
    </xf>
    <xf numFmtId="164" fontId="2" fillId="4" borderId="4" xfId="1" applyFont="1" applyFill="1" applyBorder="1" applyProtection="1"/>
    <xf numFmtId="0" fontId="5" fillId="0" borderId="8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right"/>
    </xf>
    <xf numFmtId="164" fontId="2" fillId="0" borderId="4" xfId="1" applyFont="1" applyBorder="1" applyProtection="1"/>
    <xf numFmtId="10" fontId="2" fillId="0" borderId="4" xfId="1" applyNumberFormat="1" applyFont="1" applyBorder="1" applyProtection="1"/>
    <xf numFmtId="49" fontId="7" fillId="0" borderId="4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wrapText="1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7" fillId="0" borderId="10" xfId="0" applyFont="1" applyBorder="1"/>
    <xf numFmtId="49" fontId="2" fillId="0" borderId="10" xfId="0" applyNumberFormat="1" applyFont="1" applyBorder="1"/>
    <xf numFmtId="164" fontId="2" fillId="0" borderId="11" xfId="1" applyFont="1" applyBorder="1" applyProtection="1"/>
    <xf numFmtId="49" fontId="5" fillId="5" borderId="7" xfId="0" applyNumberFormat="1" applyFont="1" applyFill="1" applyBorder="1"/>
    <xf numFmtId="49" fontId="5" fillId="5" borderId="8" xfId="0" applyNumberFormat="1" applyFont="1" applyFill="1" applyBorder="1"/>
    <xf numFmtId="164" fontId="5" fillId="5" borderId="10" xfId="1" applyFont="1" applyFill="1" applyBorder="1" applyProtection="1"/>
    <xf numFmtId="0" fontId="2" fillId="4" borderId="4" xfId="0" applyFont="1" applyFill="1" applyBorder="1"/>
    <xf numFmtId="49" fontId="2" fillId="4" borderId="4" xfId="0" applyNumberFormat="1" applyFont="1" applyFill="1" applyBorder="1"/>
    <xf numFmtId="164" fontId="5" fillId="4" borderId="4" xfId="1" applyFont="1" applyFill="1" applyBorder="1" applyProtection="1"/>
    <xf numFmtId="0" fontId="5" fillId="0" borderId="10" xfId="0" applyFont="1" applyBorder="1"/>
    <xf numFmtId="0" fontId="5" fillId="0" borderId="4" xfId="0" applyFont="1" applyBorder="1"/>
    <xf numFmtId="0" fontId="2" fillId="0" borderId="5" xfId="0" applyFont="1" applyBorder="1"/>
    <xf numFmtId="49" fontId="2" fillId="0" borderId="7" xfId="0" applyNumberFormat="1" applyFont="1" applyBorder="1"/>
    <xf numFmtId="0" fontId="2" fillId="0" borderId="7" xfId="0" applyFont="1" applyBorder="1"/>
    <xf numFmtId="164" fontId="2" fillId="0" borderId="6" xfId="1" applyFont="1" applyBorder="1" applyProtection="1"/>
    <xf numFmtId="164" fontId="5" fillId="0" borderId="0" xfId="1" applyFont="1" applyBorder="1" applyAlignment="1" applyProtection="1">
      <alignment horizontal="right"/>
    </xf>
    <xf numFmtId="164" fontId="5" fillId="0" borderId="3" xfId="1" applyFont="1" applyBorder="1" applyProtection="1"/>
    <xf numFmtId="164" fontId="5" fillId="0" borderId="0" xfId="1" applyFont="1" applyBorder="1" applyProtection="1"/>
    <xf numFmtId="164" fontId="2" fillId="0" borderId="0" xfId="0" applyNumberFormat="1" applyFont="1"/>
    <xf numFmtId="49" fontId="10" fillId="0" borderId="0" xfId="0" applyNumberFormat="1" applyFont="1"/>
    <xf numFmtId="0" fontId="5" fillId="0" borderId="4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/>
    <xf numFmtId="0" fontId="11" fillId="0" borderId="0" xfId="0" applyFont="1"/>
    <xf numFmtId="0" fontId="7" fillId="0" borderId="12" xfId="0" applyFont="1" applyBorder="1" applyAlignment="1">
      <alignment horizontal="left"/>
    </xf>
    <xf numFmtId="0" fontId="11" fillId="0" borderId="4" xfId="0" applyFont="1" applyBorder="1" applyAlignment="1">
      <alignment vertical="center" wrapText="1"/>
    </xf>
    <xf numFmtId="49" fontId="2" fillId="0" borderId="13" xfId="0" applyNumberFormat="1" applyFont="1" applyBorder="1" applyAlignment="1">
      <alignment horizontal="right"/>
    </xf>
    <xf numFmtId="0" fontId="11" fillId="0" borderId="4" xfId="0" applyFont="1" applyBorder="1" applyAlignment="1">
      <alignment wrapText="1"/>
    </xf>
    <xf numFmtId="0" fontId="5" fillId="4" borderId="4" xfId="0" applyFont="1" applyFill="1" applyBorder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14" xfId="0" applyFont="1" applyBorder="1"/>
    <xf numFmtId="0" fontId="2" fillId="0" borderId="1" xfId="0" applyFont="1" applyBorder="1"/>
    <xf numFmtId="0" fontId="2" fillId="0" borderId="0" xfId="0" applyFont="1" applyAlignment="1">
      <alignment vertical="center" wrapText="1"/>
    </xf>
    <xf numFmtId="0" fontId="2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4" xfId="0" applyFont="1" applyBorder="1" applyAlignment="1">
      <alignment horizontal="left" wrapText="1"/>
    </xf>
    <xf numFmtId="10" fontId="2" fillId="0" borderId="4" xfId="0" applyNumberFormat="1" applyFont="1" applyBorder="1"/>
    <xf numFmtId="4" fontId="2" fillId="0" borderId="4" xfId="0" applyNumberFormat="1" applyFont="1" applyBorder="1"/>
    <xf numFmtId="10" fontId="2" fillId="0" borderId="0" xfId="0" applyNumberFormat="1" applyFont="1"/>
    <xf numFmtId="2" fontId="2" fillId="0" borderId="0" xfId="0" applyNumberFormat="1" applyFont="1"/>
    <xf numFmtId="4" fontId="2" fillId="0" borderId="0" xfId="0" applyNumberFormat="1" applyFont="1"/>
    <xf numFmtId="4" fontId="2" fillId="0" borderId="11" xfId="0" applyNumberFormat="1" applyFont="1" applyBorder="1"/>
    <xf numFmtId="0" fontId="2" fillId="0" borderId="14" xfId="0" applyFont="1" applyBorder="1" applyAlignment="1">
      <alignment horizontal="left"/>
    </xf>
    <xf numFmtId="4" fontId="2" fillId="0" borderId="3" xfId="0" applyNumberFormat="1" applyFont="1" applyBorder="1"/>
    <xf numFmtId="4" fontId="2" fillId="0" borderId="2" xfId="0" applyNumberFormat="1" applyFont="1" applyBorder="1"/>
    <xf numFmtId="0" fontId="2" fillId="0" borderId="9" xfId="0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15" fillId="0" borderId="0" xfId="0" applyFont="1"/>
    <xf numFmtId="0" fontId="5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0" fontId="2" fillId="0" borderId="26" xfId="2" applyNumberFormat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10" fontId="2" fillId="0" borderId="27" xfId="2" applyNumberFormat="1" applyBorder="1" applyAlignment="1" applyProtection="1">
      <alignment horizontal="center" vertical="center"/>
    </xf>
    <xf numFmtId="166" fontId="0" fillId="0" borderId="0" xfId="0" applyNumberFormat="1"/>
    <xf numFmtId="10" fontId="5" fillId="0" borderId="21" xfId="0" applyNumberFormat="1" applyFont="1" applyBorder="1" applyAlignment="1">
      <alignment horizontal="center" vertical="center"/>
    </xf>
    <xf numFmtId="10" fontId="5" fillId="6" borderId="21" xfId="0" applyNumberFormat="1" applyFont="1" applyFill="1" applyBorder="1" applyAlignment="1" applyProtection="1">
      <alignment horizontal="center" vertical="center"/>
      <protection locked="0"/>
    </xf>
    <xf numFmtId="10" fontId="5" fillId="0" borderId="21" xfId="2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10" fontId="5" fillId="0" borderId="0" xfId="2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20" fillId="0" borderId="0" xfId="0" applyFont="1"/>
    <xf numFmtId="0" fontId="19" fillId="0" borderId="0" xfId="5" applyFont="1" applyAlignment="1">
      <alignment vertical="center"/>
    </xf>
    <xf numFmtId="0" fontId="23" fillId="0" borderId="28" xfId="5" applyFont="1" applyBorder="1" applyAlignment="1">
      <alignment horizontal="center" vertical="center" wrapText="1"/>
    </xf>
    <xf numFmtId="0" fontId="23" fillId="0" borderId="0" xfId="5" applyFont="1" applyAlignment="1">
      <alignment vertical="center"/>
    </xf>
    <xf numFmtId="0" fontId="23" fillId="0" borderId="28" xfId="5" applyFont="1" applyBorder="1" applyAlignment="1">
      <alignment horizontal="center" vertical="center"/>
    </xf>
    <xf numFmtId="10" fontId="23" fillId="7" borderId="28" xfId="5" applyNumberFormat="1" applyFont="1" applyFill="1" applyBorder="1" applyAlignment="1" applyProtection="1">
      <alignment horizontal="center" vertical="center"/>
      <protection locked="0"/>
    </xf>
    <xf numFmtId="10" fontId="23" fillId="0" borderId="28" xfId="5" applyNumberFormat="1" applyFont="1" applyBorder="1" applyAlignment="1">
      <alignment horizontal="center" vertical="center"/>
    </xf>
    <xf numFmtId="10" fontId="23" fillId="0" borderId="28" xfId="5" applyNumberFormat="1" applyFont="1" applyBorder="1" applyAlignment="1">
      <alignment horizontal="center" vertical="center" wrapText="1"/>
    </xf>
    <xf numFmtId="0" fontId="24" fillId="0" borderId="0" xfId="5" applyFont="1" applyAlignment="1">
      <alignment horizontal="center" vertical="center" wrapText="1"/>
    </xf>
    <xf numFmtId="10" fontId="24" fillId="0" borderId="0" xfId="5" applyNumberFormat="1" applyFont="1" applyAlignment="1">
      <alignment horizontal="center" vertical="center"/>
    </xf>
    <xf numFmtId="0" fontId="23" fillId="0" borderId="0" xfId="5" applyFont="1" applyAlignment="1">
      <alignment horizontal="left" vertical="center"/>
    </xf>
    <xf numFmtId="0" fontId="23" fillId="0" borderId="0" xfId="5" applyFont="1" applyAlignment="1">
      <alignment horizontal="center" vertical="center"/>
    </xf>
    <xf numFmtId="0" fontId="28" fillId="0" borderId="0" xfId="0" applyFont="1"/>
    <xf numFmtId="0" fontId="29" fillId="0" borderId="0" xfId="5" applyFont="1" applyAlignment="1">
      <alignment horizontal="center" vertical="center"/>
    </xf>
    <xf numFmtId="0" fontId="23" fillId="0" borderId="0" xfId="6" applyFont="1" applyAlignment="1">
      <alignment horizontal="center" vertical="center"/>
    </xf>
    <xf numFmtId="0" fontId="30" fillId="0" borderId="0" xfId="6" applyFont="1" applyAlignment="1">
      <alignment vertical="center"/>
    </xf>
    <xf numFmtId="0" fontId="31" fillId="0" borderId="0" xfId="6" applyFont="1" applyAlignment="1">
      <alignment vertical="center"/>
    </xf>
    <xf numFmtId="0" fontId="4" fillId="0" borderId="0" xfId="0" applyFont="1" applyAlignment="1">
      <alignment horizontal="center"/>
    </xf>
    <xf numFmtId="164" fontId="2" fillId="2" borderId="4" xfId="1" applyFont="1" applyFill="1" applyBorder="1" applyAlignment="1" applyProtection="1">
      <alignment horizontal="center"/>
    </xf>
    <xf numFmtId="0" fontId="5" fillId="3" borderId="5" xfId="0" applyFont="1" applyFill="1" applyBorder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165" fontId="9" fillId="0" borderId="0" xfId="1" applyNumberFormat="1" applyFont="1" applyBorder="1" applyAlignment="1" applyProtection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0" fillId="6" borderId="16" xfId="0" applyFont="1" applyFill="1" applyBorder="1" applyAlignment="1" applyProtection="1">
      <alignment horizontal="center"/>
      <protection locked="0"/>
    </xf>
    <xf numFmtId="0" fontId="9" fillId="0" borderId="17" xfId="0" applyFont="1" applyBorder="1" applyAlignment="1">
      <alignment horizontal="center" vertical="center" wrapText="1"/>
    </xf>
    <xf numFmtId="0" fontId="10" fillId="6" borderId="18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 wrapText="1"/>
    </xf>
    <xf numFmtId="0" fontId="10" fillId="6" borderId="20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0" fontId="5" fillId="6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0" borderId="29" xfId="5" applyFont="1" applyBorder="1" applyAlignment="1">
      <alignment horizontal="center" vertical="center" wrapText="1"/>
    </xf>
    <xf numFmtId="0" fontId="23" fillId="0" borderId="30" xfId="5" applyFont="1" applyBorder="1" applyAlignment="1">
      <alignment horizontal="center" vertical="center" wrapText="1"/>
    </xf>
    <xf numFmtId="0" fontId="23" fillId="0" borderId="31" xfId="5" applyFont="1" applyBorder="1" applyAlignment="1">
      <alignment horizontal="center" vertical="center" wrapText="1"/>
    </xf>
    <xf numFmtId="0" fontId="23" fillId="0" borderId="28" xfId="5" applyFont="1" applyBorder="1" applyAlignment="1">
      <alignment horizontal="left" vertical="center" wrapText="1"/>
    </xf>
    <xf numFmtId="0" fontId="24" fillId="0" borderId="0" xfId="5" applyFont="1" applyAlignment="1">
      <alignment horizontal="left" vertical="center" wrapText="1"/>
    </xf>
    <xf numFmtId="2" fontId="25" fillId="0" borderId="0" xfId="5" applyNumberFormat="1" applyFont="1" applyAlignment="1">
      <alignment horizontal="center" vertical="center"/>
    </xf>
    <xf numFmtId="0" fontId="23" fillId="0" borderId="0" xfId="5" applyFont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0" fontId="19" fillId="7" borderId="28" xfId="5" applyFont="1" applyFill="1" applyBorder="1" applyAlignment="1">
      <alignment horizontal="center" vertical="center"/>
    </xf>
    <xf numFmtId="4" fontId="19" fillId="7" borderId="28" xfId="5" applyNumberFormat="1" applyFont="1" applyFill="1" applyBorder="1" applyAlignment="1">
      <alignment horizontal="center" vertical="center" wrapText="1"/>
    </xf>
    <xf numFmtId="0" fontId="19" fillId="0" borderId="0" xfId="3" applyFont="1" applyAlignment="1">
      <alignment horizontal="left" vertical="center"/>
    </xf>
    <xf numFmtId="0" fontId="22" fillId="0" borderId="0" xfId="4" applyNumberFormat="1" applyFont="1" applyFill="1" applyAlignment="1">
      <alignment horizontal="center" vertical="center" wrapText="1"/>
    </xf>
    <xf numFmtId="0" fontId="19" fillId="0" borderId="28" xfId="3" applyFont="1" applyBorder="1" applyAlignment="1">
      <alignment horizontal="left" vertical="center"/>
    </xf>
    <xf numFmtId="0" fontId="19" fillId="0" borderId="28" xfId="3" applyFont="1" applyBorder="1" applyAlignment="1">
      <alignment horizontal="center" vertical="center"/>
    </xf>
    <xf numFmtId="167" fontId="23" fillId="7" borderId="28" xfId="4" applyFont="1" applyFill="1" applyBorder="1" applyAlignment="1" applyProtection="1">
      <alignment horizontal="left" vertical="center"/>
      <protection locked="0"/>
    </xf>
    <xf numFmtId="0" fontId="23" fillId="0" borderId="28" xfId="5" applyFont="1" applyBorder="1" applyAlignment="1">
      <alignment horizontal="center" vertical="center" wrapText="1"/>
    </xf>
  </cellXfs>
  <cellStyles count="7">
    <cellStyle name="Moeda_Composicao BDI v2.1" xfId="4" xr:uid="{00000000-0005-0000-0000-000000000000}"/>
    <cellStyle name="Normal" xfId="0" builtinId="0"/>
    <cellStyle name="Normal 16" xfId="6" xr:uid="{00000000-0005-0000-0000-000002000000}"/>
    <cellStyle name="Normal 2 2" xfId="5" xr:uid="{00000000-0005-0000-0000-000003000000}"/>
    <cellStyle name="Normal_FICHA DE VERIFICAÇÃO PRELIMINAR - Plano R" xfId="3" xr:uid="{00000000-0005-0000-0000-000004000000}"/>
    <cellStyle name="Porcentagem" xfId="2" builtinId="5"/>
    <cellStyle name="Vírgula" xfId="1" builtinId="3"/>
  </cellStyles>
  <dxfs count="18"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 patternType="none">
          <bgColor indexed="65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  <dxf>
      <font>
        <sz val="11"/>
        <color rgb="FF000000"/>
        <name val="Arial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CAED5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E6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20520</xdr:colOff>
      <xdr:row>40</xdr:row>
      <xdr:rowOff>216000</xdr:rowOff>
    </xdr:from>
    <xdr:to>
      <xdr:col>13</xdr:col>
      <xdr:colOff>485280</xdr:colOff>
      <xdr:row>45</xdr:row>
      <xdr:rowOff>128880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112800" y="8607600"/>
          <a:ext cx="3709440" cy="1150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104400</xdr:colOff>
      <xdr:row>40</xdr:row>
      <xdr:rowOff>46440</xdr:rowOff>
    </xdr:from>
    <xdr:to>
      <xdr:col>13</xdr:col>
      <xdr:colOff>237600</xdr:colOff>
      <xdr:row>41</xdr:row>
      <xdr:rowOff>141840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196680" y="8438040"/>
          <a:ext cx="3377880" cy="343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43"/>
  <sheetViews>
    <sheetView showGridLines="0" topLeftCell="A7" zoomScale="85" zoomScaleNormal="85" workbookViewId="0">
      <selection activeCell="A7" sqref="A7"/>
    </sheetView>
  </sheetViews>
  <sheetFormatPr defaultColWidth="9.875" defaultRowHeight="14.25" x14ac:dyDescent="0.2"/>
  <cols>
    <col min="1" max="1" width="6" style="1" customWidth="1"/>
    <col min="2" max="3" width="11" style="1" customWidth="1"/>
    <col min="4" max="4" width="58.125" style="2" customWidth="1"/>
    <col min="5" max="5" width="15.5" style="2" customWidth="1"/>
    <col min="6" max="6" width="9" style="3" customWidth="1"/>
    <col min="7" max="7" width="10.75" style="3" customWidth="1"/>
    <col min="8" max="9" width="11.875" style="3" customWidth="1"/>
    <col min="10" max="10" width="13.625" style="3" customWidth="1"/>
    <col min="11" max="11" width="3.375" style="1" customWidth="1"/>
    <col min="12" max="255" width="9.875" style="1"/>
    <col min="257" max="257" width="6" customWidth="1"/>
    <col min="258" max="258" width="11" customWidth="1"/>
    <col min="259" max="259" width="81.5" customWidth="1"/>
    <col min="260" max="260" width="15.5" customWidth="1"/>
    <col min="261" max="261" width="9" customWidth="1"/>
    <col min="262" max="262" width="10.75" customWidth="1"/>
    <col min="263" max="263" width="11.875" customWidth="1"/>
    <col min="264" max="264" width="13.625" customWidth="1"/>
    <col min="265" max="265" width="3.375" customWidth="1"/>
    <col min="513" max="513" width="6" customWidth="1"/>
    <col min="514" max="514" width="11" customWidth="1"/>
    <col min="515" max="515" width="81.5" customWidth="1"/>
    <col min="516" max="516" width="15.5" customWidth="1"/>
    <col min="517" max="517" width="9" customWidth="1"/>
    <col min="518" max="518" width="10.75" customWidth="1"/>
    <col min="519" max="519" width="11.875" customWidth="1"/>
    <col min="520" max="520" width="13.625" customWidth="1"/>
    <col min="521" max="521" width="3.375" customWidth="1"/>
    <col min="769" max="769" width="6" customWidth="1"/>
    <col min="770" max="770" width="11" customWidth="1"/>
    <col min="771" max="771" width="81.5" customWidth="1"/>
    <col min="772" max="772" width="15.5" customWidth="1"/>
    <col min="773" max="773" width="9" customWidth="1"/>
    <col min="774" max="774" width="10.75" customWidth="1"/>
    <col min="775" max="775" width="11.875" customWidth="1"/>
    <col min="776" max="776" width="13.625" customWidth="1"/>
    <col min="777" max="777" width="3.375" customWidth="1"/>
  </cols>
  <sheetData>
    <row r="1" spans="1:10" ht="12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2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2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2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2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2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2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32.25" customHeight="1" x14ac:dyDescent="0.25">
      <c r="A9" s="124" t="s">
        <v>0</v>
      </c>
      <c r="B9" s="124"/>
      <c r="C9" s="124"/>
      <c r="D9" s="124"/>
      <c r="E9" s="124"/>
      <c r="F9" s="124"/>
      <c r="G9" s="124"/>
      <c r="H9" s="124"/>
      <c r="I9" s="124"/>
      <c r="J9" s="124"/>
    </row>
    <row r="11" spans="1:10" x14ac:dyDescent="0.2">
      <c r="A11" s="1" t="s">
        <v>1</v>
      </c>
    </row>
    <row r="12" spans="1:10" x14ac:dyDescent="0.2">
      <c r="A12" s="1" t="s">
        <v>2</v>
      </c>
      <c r="E12" s="5" t="s">
        <v>3</v>
      </c>
      <c r="F12" s="6">
        <v>0.15</v>
      </c>
    </row>
    <row r="13" spans="1:10" x14ac:dyDescent="0.2">
      <c r="A13" s="1" t="s">
        <v>4</v>
      </c>
      <c r="E13" s="5" t="s">
        <v>5</v>
      </c>
      <c r="F13" s="6">
        <v>0.21890000000000001</v>
      </c>
      <c r="I13" s="3" t="s">
        <v>6</v>
      </c>
    </row>
    <row r="14" spans="1:10" x14ac:dyDescent="0.2">
      <c r="A14" s="7" t="s">
        <v>7</v>
      </c>
      <c r="B14" s="7" t="s">
        <v>8</v>
      </c>
      <c r="C14" s="7" t="s">
        <v>9</v>
      </c>
      <c r="D14" s="8" t="s">
        <v>10</v>
      </c>
      <c r="E14" s="9" t="s">
        <v>11</v>
      </c>
      <c r="F14" s="10" t="s">
        <v>12</v>
      </c>
      <c r="G14" s="125" t="s">
        <v>13</v>
      </c>
      <c r="H14" s="125"/>
      <c r="I14" s="125"/>
      <c r="J14" s="125"/>
    </row>
    <row r="15" spans="1:10" ht="25.5" x14ac:dyDescent="0.2">
      <c r="A15" s="11"/>
      <c r="B15" s="12"/>
      <c r="C15" s="12"/>
      <c r="D15" s="13"/>
      <c r="E15" s="14"/>
      <c r="F15" s="15"/>
      <c r="G15" s="16" t="s">
        <v>14</v>
      </c>
      <c r="H15" s="17" t="s">
        <v>15</v>
      </c>
      <c r="I15" s="16" t="s">
        <v>16</v>
      </c>
      <c r="J15" s="16" t="s">
        <v>17</v>
      </c>
    </row>
    <row r="16" spans="1:10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</row>
    <row r="17" spans="1:10" x14ac:dyDescent="0.2">
      <c r="A17" s="18" t="s">
        <v>18</v>
      </c>
      <c r="B17" s="19"/>
      <c r="C17" s="20"/>
      <c r="D17" s="21" t="s">
        <v>19</v>
      </c>
      <c r="E17" s="22"/>
      <c r="F17" s="23"/>
      <c r="G17" s="23"/>
      <c r="H17" s="23"/>
      <c r="I17" s="23"/>
      <c r="J17" s="23"/>
    </row>
    <row r="18" spans="1:10" x14ac:dyDescent="0.2">
      <c r="A18" s="24"/>
      <c r="B18" s="25" t="s">
        <v>20</v>
      </c>
      <c r="C18" s="26" t="s">
        <v>21</v>
      </c>
      <c r="D18" s="27" t="s">
        <v>22</v>
      </c>
      <c r="E18" s="28" t="s">
        <v>11</v>
      </c>
      <c r="F18" s="29">
        <v>1</v>
      </c>
      <c r="G18" s="29">
        <v>663.94</v>
      </c>
      <c r="H18" s="30">
        <f t="shared" ref="H18:H29" si="0">$F$12</f>
        <v>0.15</v>
      </c>
      <c r="I18" s="29">
        <f t="shared" ref="I18:I30" si="1">ROUND(G18+(G18*$F$13),2)</f>
        <v>809.28</v>
      </c>
      <c r="J18" s="29">
        <f t="shared" ref="J18:J30" si="2">ROUND(I18*F18,2)</f>
        <v>809.28</v>
      </c>
    </row>
    <row r="19" spans="1:10" x14ac:dyDescent="0.2">
      <c r="A19" s="24"/>
      <c r="B19" s="25" t="s">
        <v>20</v>
      </c>
      <c r="C19" s="26" t="s">
        <v>21</v>
      </c>
      <c r="D19" s="27" t="s">
        <v>23</v>
      </c>
      <c r="E19" s="28" t="s">
        <v>24</v>
      </c>
      <c r="F19" s="29">
        <v>35</v>
      </c>
      <c r="G19" s="29">
        <v>8.6999999999999993</v>
      </c>
      <c r="H19" s="30">
        <f t="shared" si="0"/>
        <v>0.15</v>
      </c>
      <c r="I19" s="29">
        <f t="shared" si="1"/>
        <v>10.6</v>
      </c>
      <c r="J19" s="29">
        <f t="shared" si="2"/>
        <v>371</v>
      </c>
    </row>
    <row r="20" spans="1:10" x14ac:dyDescent="0.2">
      <c r="A20" s="24"/>
      <c r="B20" s="25" t="s">
        <v>20</v>
      </c>
      <c r="C20" s="26" t="s">
        <v>21</v>
      </c>
      <c r="D20" s="31" t="s">
        <v>25</v>
      </c>
      <c r="E20" s="28" t="s">
        <v>11</v>
      </c>
      <c r="F20" s="29">
        <v>4</v>
      </c>
      <c r="G20" s="29">
        <v>23.4</v>
      </c>
      <c r="H20" s="30">
        <f t="shared" si="0"/>
        <v>0.15</v>
      </c>
      <c r="I20" s="29">
        <f t="shared" si="1"/>
        <v>28.52</v>
      </c>
      <c r="J20" s="29">
        <f t="shared" si="2"/>
        <v>114.08</v>
      </c>
    </row>
    <row r="21" spans="1:10" x14ac:dyDescent="0.2">
      <c r="A21" s="24"/>
      <c r="B21" s="25" t="s">
        <v>20</v>
      </c>
      <c r="C21" s="26" t="s">
        <v>21</v>
      </c>
      <c r="D21" s="32" t="s">
        <v>26</v>
      </c>
      <c r="E21" s="28" t="s">
        <v>11</v>
      </c>
      <c r="F21" s="29">
        <v>1</v>
      </c>
      <c r="G21" s="29">
        <v>58.89</v>
      </c>
      <c r="H21" s="30">
        <f t="shared" si="0"/>
        <v>0.15</v>
      </c>
      <c r="I21" s="29">
        <f t="shared" si="1"/>
        <v>71.78</v>
      </c>
      <c r="J21" s="29">
        <f t="shared" si="2"/>
        <v>71.78</v>
      </c>
    </row>
    <row r="22" spans="1:10" x14ac:dyDescent="0.2">
      <c r="A22" s="24"/>
      <c r="B22" s="25" t="s">
        <v>20</v>
      </c>
      <c r="C22" s="26" t="s">
        <v>21</v>
      </c>
      <c r="D22" s="32" t="s">
        <v>27</v>
      </c>
      <c r="E22" s="28" t="s">
        <v>24</v>
      </c>
      <c r="F22" s="29">
        <v>765</v>
      </c>
      <c r="G22" s="29">
        <v>5.48</v>
      </c>
      <c r="H22" s="30">
        <f t="shared" si="0"/>
        <v>0.15</v>
      </c>
      <c r="I22" s="29">
        <f t="shared" si="1"/>
        <v>6.68</v>
      </c>
      <c r="J22" s="29">
        <f t="shared" si="2"/>
        <v>5110.2</v>
      </c>
    </row>
    <row r="23" spans="1:10" x14ac:dyDescent="0.2">
      <c r="A23" s="24"/>
      <c r="B23" s="25" t="s">
        <v>20</v>
      </c>
      <c r="C23" s="26" t="s">
        <v>21</v>
      </c>
      <c r="D23" s="32" t="s">
        <v>28</v>
      </c>
      <c r="E23" s="28" t="s">
        <v>11</v>
      </c>
      <c r="F23" s="29">
        <v>8</v>
      </c>
      <c r="G23" s="29">
        <v>31.63</v>
      </c>
      <c r="H23" s="30">
        <f t="shared" si="0"/>
        <v>0.15</v>
      </c>
      <c r="I23" s="29">
        <f t="shared" si="1"/>
        <v>38.549999999999997</v>
      </c>
      <c r="J23" s="29">
        <f t="shared" si="2"/>
        <v>308.39999999999998</v>
      </c>
    </row>
    <row r="24" spans="1:10" x14ac:dyDescent="0.2">
      <c r="A24" s="33"/>
      <c r="B24" s="25" t="s">
        <v>20</v>
      </c>
      <c r="C24" s="26" t="s">
        <v>21</v>
      </c>
      <c r="D24" s="34" t="s">
        <v>29</v>
      </c>
      <c r="E24" s="28" t="s">
        <v>11</v>
      </c>
      <c r="F24" s="29">
        <v>6</v>
      </c>
      <c r="G24" s="29">
        <v>17.57</v>
      </c>
      <c r="H24" s="30">
        <f t="shared" si="0"/>
        <v>0.15</v>
      </c>
      <c r="I24" s="29">
        <f t="shared" si="1"/>
        <v>21.42</v>
      </c>
      <c r="J24" s="29">
        <f t="shared" si="2"/>
        <v>128.52000000000001</v>
      </c>
    </row>
    <row r="25" spans="1:10" x14ac:dyDescent="0.2">
      <c r="A25" s="33"/>
      <c r="B25" s="25" t="s">
        <v>20</v>
      </c>
      <c r="C25" s="26" t="s">
        <v>21</v>
      </c>
      <c r="D25" s="32" t="s">
        <v>30</v>
      </c>
      <c r="E25" s="28" t="s">
        <v>11</v>
      </c>
      <c r="F25" s="29">
        <v>3</v>
      </c>
      <c r="G25" s="29">
        <v>40.43</v>
      </c>
      <c r="H25" s="30">
        <f t="shared" si="0"/>
        <v>0.15</v>
      </c>
      <c r="I25" s="29">
        <f t="shared" si="1"/>
        <v>49.28</v>
      </c>
      <c r="J25" s="29">
        <f t="shared" si="2"/>
        <v>147.84</v>
      </c>
    </row>
    <row r="26" spans="1:10" x14ac:dyDescent="0.2">
      <c r="A26" s="33"/>
      <c r="B26" s="25" t="s">
        <v>20</v>
      </c>
      <c r="C26" s="26" t="s">
        <v>21</v>
      </c>
      <c r="D26" s="27" t="s">
        <v>31</v>
      </c>
      <c r="E26" s="28" t="s">
        <v>24</v>
      </c>
      <c r="F26" s="29">
        <v>130</v>
      </c>
      <c r="G26" s="29">
        <v>3.73</v>
      </c>
      <c r="H26" s="30">
        <f t="shared" si="0"/>
        <v>0.15</v>
      </c>
      <c r="I26" s="29">
        <f t="shared" si="1"/>
        <v>4.55</v>
      </c>
      <c r="J26" s="29">
        <f t="shared" si="2"/>
        <v>591.5</v>
      </c>
    </row>
    <row r="27" spans="1:10" x14ac:dyDescent="0.2">
      <c r="A27" s="33"/>
      <c r="B27" s="25" t="s">
        <v>20</v>
      </c>
      <c r="C27" s="26" t="s">
        <v>21</v>
      </c>
      <c r="D27" s="34" t="s">
        <v>32</v>
      </c>
      <c r="E27" s="28" t="s">
        <v>11</v>
      </c>
      <c r="F27" s="29">
        <v>5</v>
      </c>
      <c r="G27" s="29">
        <v>15.12</v>
      </c>
      <c r="H27" s="30">
        <f t="shared" si="0"/>
        <v>0.15</v>
      </c>
      <c r="I27" s="29">
        <f t="shared" si="1"/>
        <v>18.43</v>
      </c>
      <c r="J27" s="29">
        <f t="shared" si="2"/>
        <v>92.15</v>
      </c>
    </row>
    <row r="28" spans="1:10" x14ac:dyDescent="0.2">
      <c r="A28" s="33"/>
      <c r="B28" s="25" t="s">
        <v>20</v>
      </c>
      <c r="C28" s="26" t="s">
        <v>21</v>
      </c>
      <c r="D28" s="27" t="s">
        <v>33</v>
      </c>
      <c r="E28" s="28" t="s">
        <v>11</v>
      </c>
      <c r="F28" s="29">
        <v>5</v>
      </c>
      <c r="G28" s="29">
        <v>81.23</v>
      </c>
      <c r="H28" s="30">
        <f t="shared" si="0"/>
        <v>0.15</v>
      </c>
      <c r="I28" s="29">
        <f t="shared" si="1"/>
        <v>99.01</v>
      </c>
      <c r="J28" s="29">
        <f t="shared" si="2"/>
        <v>495.05</v>
      </c>
    </row>
    <row r="29" spans="1:10" x14ac:dyDescent="0.2">
      <c r="A29" s="33"/>
      <c r="B29" s="25" t="s">
        <v>34</v>
      </c>
      <c r="C29" s="26">
        <v>12773</v>
      </c>
      <c r="D29" s="27" t="s">
        <v>35</v>
      </c>
      <c r="E29" s="28" t="s">
        <v>11</v>
      </c>
      <c r="F29" s="29">
        <v>5</v>
      </c>
      <c r="G29" s="29">
        <v>122.88</v>
      </c>
      <c r="H29" s="30">
        <f t="shared" si="0"/>
        <v>0.15</v>
      </c>
      <c r="I29" s="29">
        <f t="shared" si="1"/>
        <v>149.78</v>
      </c>
      <c r="J29" s="29">
        <f t="shared" si="2"/>
        <v>748.9</v>
      </c>
    </row>
    <row r="30" spans="1:10" x14ac:dyDescent="0.2">
      <c r="A30" s="33"/>
      <c r="B30" s="35" t="s">
        <v>20</v>
      </c>
      <c r="C30" s="26" t="s">
        <v>21</v>
      </c>
      <c r="D30" s="27" t="s">
        <v>36</v>
      </c>
      <c r="E30" s="28" t="s">
        <v>11</v>
      </c>
      <c r="F30" s="29">
        <v>1</v>
      </c>
      <c r="G30" s="29">
        <v>2670</v>
      </c>
      <c r="H30" s="30">
        <f>F13</f>
        <v>0.21890000000000001</v>
      </c>
      <c r="I30" s="29">
        <f t="shared" si="1"/>
        <v>3254.46</v>
      </c>
      <c r="J30" s="29">
        <f t="shared" si="2"/>
        <v>3254.46</v>
      </c>
    </row>
    <row r="31" spans="1:10" x14ac:dyDescent="0.2">
      <c r="A31" s="33"/>
      <c r="B31" s="36"/>
      <c r="C31" s="37"/>
      <c r="D31" s="38"/>
      <c r="E31" s="33"/>
      <c r="F31" s="39"/>
      <c r="G31" s="40" t="s">
        <v>37</v>
      </c>
      <c r="H31" s="40"/>
      <c r="I31" s="41"/>
      <c r="J31" s="42">
        <f>SUM(J18:J30)</f>
        <v>12243.16</v>
      </c>
    </row>
    <row r="32" spans="1:10" x14ac:dyDescent="0.2">
      <c r="A32" s="43">
        <v>2</v>
      </c>
      <c r="B32" s="43"/>
      <c r="C32" s="20"/>
      <c r="D32" s="21" t="s">
        <v>38</v>
      </c>
      <c r="E32" s="44"/>
      <c r="F32" s="23"/>
      <c r="G32" s="23"/>
      <c r="H32" s="23"/>
      <c r="I32" s="23"/>
      <c r="J32" s="45"/>
    </row>
    <row r="33" spans="1:12" ht="25.5" x14ac:dyDescent="0.2">
      <c r="A33" s="46"/>
      <c r="B33" s="47" t="s">
        <v>34</v>
      </c>
      <c r="C33" s="26" t="s">
        <v>39</v>
      </c>
      <c r="D33" s="32" t="s">
        <v>40</v>
      </c>
      <c r="E33" s="28" t="s">
        <v>41</v>
      </c>
      <c r="F33" s="29">
        <f>(F18+F22+F26)*0.5*0.8</f>
        <v>358.40000000000003</v>
      </c>
      <c r="G33" s="29">
        <v>9.8000000000000007</v>
      </c>
      <c r="H33" s="30">
        <f>F13</f>
        <v>0.21890000000000001</v>
      </c>
      <c r="I33" s="29">
        <f>ROUND(G33+(G33*$F$13),2)</f>
        <v>11.95</v>
      </c>
      <c r="J33" s="29">
        <f>ROUND(I33*F33,2)</f>
        <v>4282.88</v>
      </c>
    </row>
    <row r="34" spans="1:12" x14ac:dyDescent="0.2">
      <c r="A34" s="46"/>
      <c r="B34" s="35" t="s">
        <v>20</v>
      </c>
      <c r="C34" s="26"/>
      <c r="D34" s="27" t="s">
        <v>42</v>
      </c>
      <c r="E34" s="28" t="s">
        <v>41</v>
      </c>
      <c r="F34" s="29">
        <f>F33</f>
        <v>358.40000000000003</v>
      </c>
      <c r="G34" s="29">
        <v>2.5</v>
      </c>
      <c r="H34" s="30">
        <f>F13</f>
        <v>0.21890000000000001</v>
      </c>
      <c r="I34" s="29">
        <f>ROUND(G34+(G34*$F$13),2)</f>
        <v>3.05</v>
      </c>
      <c r="J34" s="29">
        <f>ROUND(I34*F34,2)</f>
        <v>1093.1199999999999</v>
      </c>
    </row>
    <row r="35" spans="1:12" x14ac:dyDescent="0.2">
      <c r="A35" s="46"/>
      <c r="B35" s="47"/>
      <c r="C35" s="26"/>
      <c r="D35" s="27"/>
      <c r="E35" s="28"/>
      <c r="F35" s="29"/>
      <c r="G35" s="29"/>
      <c r="H35" s="29"/>
      <c r="I35" s="29"/>
      <c r="J35" s="29"/>
    </row>
    <row r="36" spans="1:12" x14ac:dyDescent="0.2">
      <c r="A36" s="48"/>
      <c r="B36" s="36"/>
      <c r="C36" s="48"/>
      <c r="D36" s="49"/>
      <c r="E36" s="50"/>
      <c r="F36" s="51"/>
      <c r="G36" s="40" t="s">
        <v>43</v>
      </c>
      <c r="H36" s="40"/>
      <c r="I36" s="40"/>
      <c r="J36" s="42">
        <f>SUM(J33:J34)</f>
        <v>5376</v>
      </c>
    </row>
    <row r="37" spans="1:12" x14ac:dyDescent="0.2">
      <c r="A37" s="33"/>
      <c r="G37" s="52"/>
      <c r="H37" s="52"/>
      <c r="I37" s="52"/>
      <c r="J37" s="53"/>
    </row>
    <row r="38" spans="1:12" x14ac:dyDescent="0.2">
      <c r="G38" s="52"/>
      <c r="H38" s="52"/>
      <c r="I38" s="52"/>
      <c r="J38" s="54"/>
    </row>
    <row r="39" spans="1:12" x14ac:dyDescent="0.2">
      <c r="L39" s="55"/>
    </row>
    <row r="40" spans="1:12" ht="16.5" x14ac:dyDescent="0.2">
      <c r="D40" s="127" t="s">
        <v>44</v>
      </c>
      <c r="E40" s="127"/>
      <c r="F40" s="127"/>
      <c r="G40" s="128">
        <f>J36+J31</f>
        <v>17619.16</v>
      </c>
      <c r="H40" s="128"/>
      <c r="I40" s="128"/>
      <c r="J40" s="128"/>
      <c r="L40" s="55"/>
    </row>
    <row r="42" spans="1:12" ht="15" x14ac:dyDescent="0.2">
      <c r="D42" s="56"/>
    </row>
    <row r="43" spans="1:12" x14ac:dyDescent="0.2">
      <c r="D43" s="2" t="s">
        <v>45</v>
      </c>
    </row>
  </sheetData>
  <mergeCells count="5">
    <mergeCell ref="A9:J9"/>
    <mergeCell ref="G14:J14"/>
    <mergeCell ref="A16:J16"/>
    <mergeCell ref="D40:F40"/>
    <mergeCell ref="G40:J40"/>
  </mergeCells>
  <pageMargins left="0.51180555555555596" right="0.51180555555555596" top="0.78749999999999998" bottom="0.78749999999999998" header="0.511811023622047" footer="0.511811023622047"/>
  <pageSetup paperSize="9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42"/>
  <sheetViews>
    <sheetView showGridLines="0" tabSelected="1" topLeftCell="A19" zoomScale="70" zoomScaleNormal="70" workbookViewId="0">
      <selection activeCell="E22" sqref="E22"/>
    </sheetView>
  </sheetViews>
  <sheetFormatPr defaultColWidth="10.5" defaultRowHeight="14.25" x14ac:dyDescent="0.2"/>
  <cols>
    <col min="1" max="1" width="6" style="1" customWidth="1"/>
    <col min="2" max="3" width="11" style="1" customWidth="1"/>
    <col min="4" max="4" width="58.125" style="2" customWidth="1"/>
    <col min="5" max="5" width="15.5" style="2" customWidth="1"/>
    <col min="6" max="6" width="9" style="3" customWidth="1"/>
    <col min="7" max="7" width="10.75" style="3" customWidth="1"/>
    <col min="8" max="9" width="11.875" style="3" customWidth="1"/>
    <col min="10" max="10" width="13.625" style="3" customWidth="1"/>
    <col min="11" max="11" width="3.375" style="1" customWidth="1"/>
    <col min="12" max="254" width="9.875" style="1" customWidth="1"/>
    <col min="255" max="255" width="9.875" customWidth="1"/>
    <col min="256" max="256" width="6" customWidth="1"/>
    <col min="257" max="257" width="11" customWidth="1"/>
    <col min="258" max="258" width="81.5" customWidth="1"/>
    <col min="259" max="259" width="15.5" customWidth="1"/>
    <col min="260" max="260" width="9" customWidth="1"/>
    <col min="261" max="261" width="10.75" customWidth="1"/>
    <col min="262" max="262" width="11.875" customWidth="1"/>
    <col min="263" max="263" width="13.625" customWidth="1"/>
    <col min="264" max="264" width="3.375" customWidth="1"/>
    <col min="265" max="511" width="9.875" customWidth="1"/>
    <col min="512" max="512" width="6" customWidth="1"/>
    <col min="513" max="513" width="11" customWidth="1"/>
    <col min="514" max="514" width="81.5" customWidth="1"/>
    <col min="515" max="515" width="15.5" customWidth="1"/>
    <col min="516" max="516" width="9" customWidth="1"/>
    <col min="517" max="517" width="10.75" customWidth="1"/>
    <col min="518" max="518" width="11.875" customWidth="1"/>
    <col min="519" max="519" width="13.625" customWidth="1"/>
    <col min="520" max="520" width="3.375" customWidth="1"/>
    <col min="521" max="767" width="9.875" customWidth="1"/>
    <col min="768" max="768" width="6" customWidth="1"/>
    <col min="769" max="769" width="11" customWidth="1"/>
    <col min="770" max="770" width="81.5" customWidth="1"/>
    <col min="771" max="771" width="15.5" customWidth="1"/>
    <col min="772" max="772" width="9" customWidth="1"/>
    <col min="773" max="773" width="10.75" customWidth="1"/>
    <col min="774" max="774" width="11.875" customWidth="1"/>
    <col min="775" max="775" width="13.625" customWidth="1"/>
    <col min="776" max="776" width="3.375" customWidth="1"/>
  </cols>
  <sheetData>
    <row r="1" spans="1:10" ht="12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2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2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2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2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2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2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32.25" customHeight="1" x14ac:dyDescent="0.25">
      <c r="A9" s="124" t="s">
        <v>0</v>
      </c>
      <c r="B9" s="124"/>
      <c r="C9" s="124"/>
      <c r="D9" s="124"/>
      <c r="E9" s="124"/>
      <c r="F9" s="124"/>
      <c r="G9" s="124"/>
      <c r="H9" s="124"/>
      <c r="I9" s="124"/>
      <c r="J9" s="124"/>
    </row>
    <row r="11" spans="1:10" x14ac:dyDescent="0.2">
      <c r="A11" s="1" t="s">
        <v>1</v>
      </c>
    </row>
    <row r="12" spans="1:10" x14ac:dyDescent="0.2">
      <c r="A12" s="1" t="s">
        <v>2</v>
      </c>
      <c r="E12" s="5" t="s">
        <v>3</v>
      </c>
      <c r="F12" s="6">
        <v>0.15</v>
      </c>
    </row>
    <row r="13" spans="1:10" x14ac:dyDescent="0.2">
      <c r="A13" s="1" t="s">
        <v>46</v>
      </c>
      <c r="E13" s="5" t="s">
        <v>5</v>
      </c>
      <c r="F13" s="6">
        <v>0.21890000000000001</v>
      </c>
      <c r="I13" s="3" t="s">
        <v>6</v>
      </c>
    </row>
    <row r="14" spans="1:10" x14ac:dyDescent="0.2">
      <c r="A14" s="7" t="s">
        <v>7</v>
      </c>
      <c r="B14" s="7" t="s">
        <v>8</v>
      </c>
      <c r="C14" s="7" t="s">
        <v>9</v>
      </c>
      <c r="D14" s="8" t="s">
        <v>10</v>
      </c>
      <c r="E14" s="9" t="s">
        <v>11</v>
      </c>
      <c r="F14" s="10" t="s">
        <v>12</v>
      </c>
      <c r="G14" s="125" t="s">
        <v>13</v>
      </c>
      <c r="H14" s="125"/>
      <c r="I14" s="125"/>
      <c r="J14" s="125"/>
    </row>
    <row r="15" spans="1:10" ht="25.5" x14ac:dyDescent="0.2">
      <c r="A15" s="11"/>
      <c r="B15" s="12"/>
      <c r="C15" s="12"/>
      <c r="D15" s="13"/>
      <c r="E15" s="14"/>
      <c r="F15" s="15"/>
      <c r="G15" s="16" t="s">
        <v>14</v>
      </c>
      <c r="H15" s="17" t="s">
        <v>15</v>
      </c>
      <c r="I15" s="16" t="s">
        <v>16</v>
      </c>
      <c r="J15" s="16" t="s">
        <v>17</v>
      </c>
    </row>
    <row r="16" spans="1:10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</row>
    <row r="17" spans="1:10" x14ac:dyDescent="0.2">
      <c r="A17" s="18" t="s">
        <v>18</v>
      </c>
      <c r="B17" s="19"/>
      <c r="C17" s="20"/>
      <c r="D17" s="21" t="s">
        <v>19</v>
      </c>
      <c r="E17" s="22"/>
      <c r="F17" s="23"/>
      <c r="G17" s="23"/>
      <c r="H17" s="23"/>
      <c r="I17" s="23"/>
      <c r="J17" s="23"/>
    </row>
    <row r="18" spans="1:10" x14ac:dyDescent="0.2">
      <c r="A18" s="24"/>
      <c r="B18" s="25" t="s">
        <v>20</v>
      </c>
      <c r="C18" s="26" t="s">
        <v>21</v>
      </c>
      <c r="D18" s="27" t="s">
        <v>47</v>
      </c>
      <c r="E18" s="28" t="s">
        <v>11</v>
      </c>
      <c r="F18" s="29">
        <v>1</v>
      </c>
      <c r="G18" s="29">
        <v>507.72</v>
      </c>
      <c r="H18" s="30">
        <f t="shared" ref="H18:H24" si="0">$F$12</f>
        <v>0.15</v>
      </c>
      <c r="I18" s="29">
        <f t="shared" ref="I18:I25" si="1">ROUND(G18+(G18*$F$13),2)</f>
        <v>618.86</v>
      </c>
      <c r="J18" s="29">
        <f t="shared" ref="J18:J25" si="2">ROUND(I18*F18,2)</f>
        <v>618.86</v>
      </c>
    </row>
    <row r="19" spans="1:10" x14ac:dyDescent="0.2">
      <c r="A19" s="33"/>
      <c r="B19" s="25" t="s">
        <v>20</v>
      </c>
      <c r="C19" s="26" t="s">
        <v>21</v>
      </c>
      <c r="D19" s="27" t="s">
        <v>31</v>
      </c>
      <c r="E19" s="28" t="s">
        <v>24</v>
      </c>
      <c r="F19" s="29">
        <v>1765</v>
      </c>
      <c r="G19" s="29">
        <v>3.73</v>
      </c>
      <c r="H19" s="30">
        <f t="shared" si="0"/>
        <v>0.15</v>
      </c>
      <c r="I19" s="29">
        <f t="shared" si="1"/>
        <v>4.55</v>
      </c>
      <c r="J19" s="29">
        <f t="shared" si="2"/>
        <v>8030.75</v>
      </c>
    </row>
    <row r="20" spans="1:10" x14ac:dyDescent="0.2">
      <c r="A20" s="33"/>
      <c r="B20" s="25" t="s">
        <v>20</v>
      </c>
      <c r="C20" s="26" t="s">
        <v>21</v>
      </c>
      <c r="D20" s="32" t="s">
        <v>48</v>
      </c>
      <c r="E20" s="28" t="s">
        <v>11</v>
      </c>
      <c r="F20" s="29">
        <v>4</v>
      </c>
      <c r="G20" s="29">
        <v>29.04</v>
      </c>
      <c r="H20" s="30">
        <f t="shared" si="0"/>
        <v>0.15</v>
      </c>
      <c r="I20" s="29">
        <f t="shared" si="1"/>
        <v>35.4</v>
      </c>
      <c r="J20" s="29">
        <f t="shared" si="2"/>
        <v>141.6</v>
      </c>
    </row>
    <row r="21" spans="1:10" x14ac:dyDescent="0.2">
      <c r="A21" s="24"/>
      <c r="B21" s="25" t="s">
        <v>20</v>
      </c>
      <c r="C21" s="26" t="s">
        <v>21</v>
      </c>
      <c r="D21" s="32" t="s">
        <v>49</v>
      </c>
      <c r="E21" s="28" t="s">
        <v>11</v>
      </c>
      <c r="F21" s="29">
        <v>18</v>
      </c>
      <c r="G21" s="29">
        <v>24.54</v>
      </c>
      <c r="H21" s="30">
        <f t="shared" si="0"/>
        <v>0.15</v>
      </c>
      <c r="I21" s="29">
        <f t="shared" si="1"/>
        <v>29.91</v>
      </c>
      <c r="J21" s="29">
        <f t="shared" si="2"/>
        <v>538.38</v>
      </c>
    </row>
    <row r="22" spans="1:10" x14ac:dyDescent="0.2">
      <c r="A22" s="24"/>
      <c r="B22" s="25" t="s">
        <v>20</v>
      </c>
      <c r="C22" s="26" t="s">
        <v>21</v>
      </c>
      <c r="D22" s="32" t="s">
        <v>50</v>
      </c>
      <c r="E22" s="28" t="s">
        <v>11</v>
      </c>
      <c r="F22" s="29">
        <v>10</v>
      </c>
      <c r="G22" s="29">
        <v>15.12</v>
      </c>
      <c r="H22" s="30">
        <f t="shared" si="0"/>
        <v>0.15</v>
      </c>
      <c r="I22" s="29">
        <f t="shared" si="1"/>
        <v>18.43</v>
      </c>
      <c r="J22" s="29">
        <f t="shared" si="2"/>
        <v>184.3</v>
      </c>
    </row>
    <row r="23" spans="1:10" x14ac:dyDescent="0.2">
      <c r="A23" s="33"/>
      <c r="B23" s="25" t="s">
        <v>20</v>
      </c>
      <c r="C23" s="26" t="s">
        <v>21</v>
      </c>
      <c r="D23" s="27" t="s">
        <v>33</v>
      </c>
      <c r="E23" s="28" t="s">
        <v>11</v>
      </c>
      <c r="F23" s="29">
        <v>6</v>
      </c>
      <c r="G23" s="29">
        <v>81.23</v>
      </c>
      <c r="H23" s="30">
        <f t="shared" si="0"/>
        <v>0.15</v>
      </c>
      <c r="I23" s="29">
        <f t="shared" si="1"/>
        <v>99.01</v>
      </c>
      <c r="J23" s="29">
        <f t="shared" si="2"/>
        <v>594.05999999999995</v>
      </c>
    </row>
    <row r="24" spans="1:10" x14ac:dyDescent="0.2">
      <c r="A24" s="33"/>
      <c r="B24" s="25" t="s">
        <v>34</v>
      </c>
      <c r="C24" s="26">
        <v>12773</v>
      </c>
      <c r="D24" s="27" t="s">
        <v>35</v>
      </c>
      <c r="E24" s="28" t="s">
        <v>11</v>
      </c>
      <c r="F24" s="29">
        <v>6</v>
      </c>
      <c r="G24" s="29">
        <v>122.88</v>
      </c>
      <c r="H24" s="30">
        <f t="shared" si="0"/>
        <v>0.15</v>
      </c>
      <c r="I24" s="29">
        <f t="shared" si="1"/>
        <v>149.78</v>
      </c>
      <c r="J24" s="29">
        <f t="shared" si="2"/>
        <v>898.68</v>
      </c>
    </row>
    <row r="25" spans="1:10" x14ac:dyDescent="0.2">
      <c r="A25" s="33"/>
      <c r="B25" s="25" t="s">
        <v>20</v>
      </c>
      <c r="C25" s="26"/>
      <c r="D25" s="27" t="s">
        <v>36</v>
      </c>
      <c r="E25" s="28" t="s">
        <v>11</v>
      </c>
      <c r="F25" s="29">
        <v>1</v>
      </c>
      <c r="G25" s="29">
        <v>4825.25</v>
      </c>
      <c r="H25" s="30">
        <f>F13</f>
        <v>0.21890000000000001</v>
      </c>
      <c r="I25" s="29">
        <f t="shared" si="1"/>
        <v>5881.5</v>
      </c>
      <c r="J25" s="29">
        <f t="shared" si="2"/>
        <v>5881.5</v>
      </c>
    </row>
    <row r="26" spans="1:10" x14ac:dyDescent="0.2">
      <c r="A26" s="33"/>
      <c r="B26" s="25"/>
      <c r="C26" s="26"/>
      <c r="D26" s="27"/>
      <c r="E26" s="28"/>
      <c r="F26" s="29"/>
      <c r="G26" s="29"/>
      <c r="H26" s="30"/>
      <c r="I26" s="29"/>
      <c r="J26" s="29"/>
    </row>
    <row r="27" spans="1:10" x14ac:dyDescent="0.2">
      <c r="A27" s="33"/>
      <c r="B27" s="25"/>
      <c r="C27" s="26"/>
      <c r="D27" s="34"/>
      <c r="E27" s="28"/>
      <c r="F27" s="29"/>
      <c r="G27" s="29"/>
      <c r="H27" s="30"/>
      <c r="I27" s="29"/>
      <c r="J27" s="29"/>
    </row>
    <row r="28" spans="1:10" x14ac:dyDescent="0.2">
      <c r="A28" s="33"/>
      <c r="B28" s="25"/>
      <c r="C28" s="26"/>
      <c r="D28" s="27"/>
      <c r="E28" s="28"/>
      <c r="F28" s="29"/>
      <c r="G28" s="29"/>
      <c r="H28" s="30"/>
      <c r="I28" s="29"/>
      <c r="J28" s="29"/>
    </row>
    <row r="29" spans="1:10" x14ac:dyDescent="0.2">
      <c r="A29" s="33"/>
      <c r="B29" s="25"/>
      <c r="C29" s="26"/>
      <c r="D29" s="27"/>
      <c r="E29" s="28"/>
      <c r="F29" s="29"/>
      <c r="G29" s="29"/>
      <c r="H29" s="30"/>
      <c r="I29" s="29"/>
      <c r="J29" s="29"/>
    </row>
    <row r="30" spans="1:10" x14ac:dyDescent="0.2">
      <c r="A30" s="33"/>
      <c r="B30" s="35"/>
      <c r="C30" s="26"/>
      <c r="D30" s="27"/>
      <c r="E30" s="28"/>
      <c r="F30" s="29"/>
      <c r="G30" s="29"/>
      <c r="H30" s="30"/>
      <c r="I30" s="29"/>
      <c r="J30" s="29"/>
    </row>
    <row r="31" spans="1:10" x14ac:dyDescent="0.2">
      <c r="A31" s="33"/>
      <c r="B31" s="36"/>
      <c r="C31" s="37"/>
      <c r="D31" s="38"/>
      <c r="E31" s="33"/>
      <c r="F31" s="39"/>
      <c r="G31" s="40" t="s">
        <v>37</v>
      </c>
      <c r="H31" s="40"/>
      <c r="I31" s="41"/>
      <c r="J31" s="42">
        <f>SUM(J18:J30)</f>
        <v>16888.129999999997</v>
      </c>
    </row>
    <row r="32" spans="1:10" x14ac:dyDescent="0.2">
      <c r="A32" s="43">
        <v>2</v>
      </c>
      <c r="B32" s="43"/>
      <c r="C32" s="20"/>
      <c r="D32" s="21" t="s">
        <v>38</v>
      </c>
      <c r="E32" s="44"/>
      <c r="F32" s="23"/>
      <c r="G32" s="23"/>
      <c r="H32" s="23"/>
      <c r="I32" s="23"/>
      <c r="J32" s="45"/>
    </row>
    <row r="33" spans="1:12" ht="25.5" x14ac:dyDescent="0.2">
      <c r="A33" s="46"/>
      <c r="B33" s="57" t="s">
        <v>34</v>
      </c>
      <c r="C33" s="26" t="s">
        <v>39</v>
      </c>
      <c r="D33" s="32" t="s">
        <v>40</v>
      </c>
      <c r="E33" s="28" t="s">
        <v>41</v>
      </c>
      <c r="F33" s="29">
        <f>(F19)*0.5*0.8</f>
        <v>706</v>
      </c>
      <c r="G33" s="29">
        <v>9.8000000000000007</v>
      </c>
      <c r="H33" s="29"/>
      <c r="I33" s="29">
        <f>ROUND(G33+(G33*$F$13),2)</f>
        <v>11.95</v>
      </c>
      <c r="J33" s="29">
        <f>ROUND(I33*F33,2)</f>
        <v>8436.7000000000007</v>
      </c>
    </row>
    <row r="34" spans="1:12" x14ac:dyDescent="0.2">
      <c r="A34" s="46"/>
      <c r="B34" s="35" t="s">
        <v>20</v>
      </c>
      <c r="C34" s="26"/>
      <c r="D34" s="27" t="s">
        <v>42</v>
      </c>
      <c r="E34" s="28" t="s">
        <v>41</v>
      </c>
      <c r="F34" s="29">
        <f>F33</f>
        <v>706</v>
      </c>
      <c r="G34" s="29">
        <v>2.5</v>
      </c>
      <c r="H34" s="29"/>
      <c r="I34" s="29">
        <f>ROUND(G34+(G34*$F$13),2)</f>
        <v>3.05</v>
      </c>
      <c r="J34" s="29">
        <f>ROUND(I34*F34,2)</f>
        <v>2153.3000000000002</v>
      </c>
    </row>
    <row r="35" spans="1:12" x14ac:dyDescent="0.2">
      <c r="A35" s="46"/>
      <c r="B35" s="47"/>
      <c r="C35" s="26"/>
      <c r="D35" s="27"/>
      <c r="E35" s="28"/>
      <c r="F35" s="29"/>
      <c r="G35" s="29"/>
      <c r="H35" s="29"/>
      <c r="I35" s="29"/>
      <c r="J35" s="29"/>
    </row>
    <row r="36" spans="1:12" x14ac:dyDescent="0.2">
      <c r="A36" s="48"/>
      <c r="B36" s="36"/>
      <c r="C36" s="48"/>
      <c r="D36" s="49"/>
      <c r="E36" s="50"/>
      <c r="F36" s="51"/>
      <c r="G36" s="40" t="s">
        <v>43</v>
      </c>
      <c r="H36" s="40"/>
      <c r="I36" s="40"/>
      <c r="J36" s="42">
        <f>SUM(J33:J34)</f>
        <v>10590</v>
      </c>
    </row>
    <row r="37" spans="1:12" x14ac:dyDescent="0.2">
      <c r="A37" s="33"/>
      <c r="G37" s="52"/>
      <c r="H37" s="52"/>
      <c r="I37" s="52"/>
      <c r="J37" s="53"/>
    </row>
    <row r="38" spans="1:12" x14ac:dyDescent="0.2">
      <c r="G38" s="52"/>
      <c r="H38" s="52"/>
      <c r="I38" s="52"/>
      <c r="J38" s="54"/>
    </row>
    <row r="39" spans="1:12" x14ac:dyDescent="0.2">
      <c r="L39" s="55"/>
    </row>
    <row r="40" spans="1:12" ht="16.5" x14ac:dyDescent="0.2">
      <c r="B40" s="2"/>
      <c r="D40" s="127" t="s">
        <v>44</v>
      </c>
      <c r="E40" s="127"/>
      <c r="F40" s="127"/>
      <c r="G40" s="128">
        <f>J36+J31</f>
        <v>27478.129999999997</v>
      </c>
      <c r="H40" s="128"/>
      <c r="I40" s="128"/>
      <c r="J40" s="128"/>
      <c r="L40" s="55"/>
    </row>
    <row r="42" spans="1:12" ht="15" x14ac:dyDescent="0.2">
      <c r="B42" s="2" t="s">
        <v>45</v>
      </c>
      <c r="D42" s="56"/>
    </row>
  </sheetData>
  <mergeCells count="5">
    <mergeCell ref="A9:J9"/>
    <mergeCell ref="G14:J14"/>
    <mergeCell ref="A16:J16"/>
    <mergeCell ref="D40:F40"/>
    <mergeCell ref="G40:J40"/>
  </mergeCells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U64"/>
  <sheetViews>
    <sheetView showGridLines="0" topLeftCell="A22" zoomScale="90" zoomScaleNormal="90" workbookViewId="0">
      <selection activeCell="I22" sqref="I22"/>
    </sheetView>
  </sheetViews>
  <sheetFormatPr defaultColWidth="10.5" defaultRowHeight="14.25" x14ac:dyDescent="0.2"/>
  <cols>
    <col min="1" max="1" width="6" style="1" customWidth="1"/>
    <col min="2" max="3" width="11" style="1" customWidth="1"/>
    <col min="4" max="4" width="62.125" style="2" customWidth="1"/>
    <col min="5" max="5" width="15.5" style="2" customWidth="1"/>
    <col min="6" max="6" width="9" style="3" customWidth="1"/>
    <col min="7" max="7" width="10.75" style="3" customWidth="1"/>
    <col min="8" max="9" width="11.875" style="3" customWidth="1"/>
    <col min="10" max="10" width="13.625" style="3" customWidth="1"/>
    <col min="11" max="11" width="3.375" style="1" customWidth="1"/>
    <col min="12" max="255" width="9.875" style="1" customWidth="1"/>
    <col min="256" max="256" width="9.875" customWidth="1"/>
    <col min="257" max="257" width="6" customWidth="1"/>
    <col min="258" max="258" width="11" customWidth="1"/>
    <col min="259" max="259" width="81.5" customWidth="1"/>
    <col min="260" max="260" width="15.5" customWidth="1"/>
    <col min="261" max="261" width="9" customWidth="1"/>
    <col min="262" max="262" width="10.75" customWidth="1"/>
    <col min="263" max="263" width="11.875" customWidth="1"/>
    <col min="264" max="264" width="13.625" customWidth="1"/>
    <col min="265" max="265" width="3.375" customWidth="1"/>
    <col min="266" max="512" width="9.875" customWidth="1"/>
    <col min="513" max="513" width="6" customWidth="1"/>
    <col min="514" max="514" width="11" customWidth="1"/>
    <col min="515" max="515" width="81.5" customWidth="1"/>
    <col min="516" max="516" width="15.5" customWidth="1"/>
    <col min="517" max="517" width="9" customWidth="1"/>
    <col min="518" max="518" width="10.75" customWidth="1"/>
    <col min="519" max="519" width="11.875" customWidth="1"/>
    <col min="520" max="520" width="13.625" customWidth="1"/>
    <col min="521" max="521" width="3.375" customWidth="1"/>
    <col min="522" max="768" width="9.875" customWidth="1"/>
    <col min="769" max="769" width="6" customWidth="1"/>
    <col min="770" max="770" width="11" customWidth="1"/>
    <col min="771" max="771" width="81.5" customWidth="1"/>
    <col min="772" max="772" width="15.5" customWidth="1"/>
    <col min="773" max="773" width="9" customWidth="1"/>
    <col min="774" max="774" width="10.75" customWidth="1"/>
    <col min="775" max="775" width="11.875" customWidth="1"/>
    <col min="776" max="776" width="13.625" customWidth="1"/>
    <col min="777" max="777" width="3.375" customWidth="1"/>
  </cols>
  <sheetData>
    <row r="1" spans="1:10" ht="12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2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2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2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2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2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2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32.25" customHeight="1" x14ac:dyDescent="0.25">
      <c r="A9" s="124" t="s">
        <v>0</v>
      </c>
      <c r="B9" s="124"/>
      <c r="C9" s="124"/>
      <c r="D9" s="124"/>
      <c r="E9" s="124"/>
      <c r="F9" s="124"/>
      <c r="G9" s="124"/>
      <c r="H9" s="124"/>
      <c r="I9" s="124"/>
      <c r="J9" s="124"/>
    </row>
    <row r="11" spans="1:10" x14ac:dyDescent="0.2">
      <c r="A11" s="1" t="s">
        <v>1</v>
      </c>
    </row>
    <row r="12" spans="1:10" x14ac:dyDescent="0.2">
      <c r="A12" s="1" t="s">
        <v>51</v>
      </c>
      <c r="E12" s="5" t="s">
        <v>3</v>
      </c>
      <c r="F12" s="6">
        <v>0.15</v>
      </c>
    </row>
    <row r="13" spans="1:10" x14ac:dyDescent="0.2">
      <c r="A13" s="1" t="s">
        <v>52</v>
      </c>
      <c r="E13" s="5" t="s">
        <v>5</v>
      </c>
      <c r="F13" s="6">
        <v>0.21890000000000001</v>
      </c>
      <c r="I13" s="3" t="s">
        <v>6</v>
      </c>
    </row>
    <row r="14" spans="1:10" x14ac:dyDescent="0.2">
      <c r="A14" s="7" t="s">
        <v>7</v>
      </c>
      <c r="B14" s="7" t="s">
        <v>8</v>
      </c>
      <c r="C14" s="7" t="s">
        <v>9</v>
      </c>
      <c r="D14" s="8" t="s">
        <v>10</v>
      </c>
      <c r="E14" s="9" t="s">
        <v>11</v>
      </c>
      <c r="F14" s="10" t="s">
        <v>12</v>
      </c>
      <c r="G14" s="125" t="s">
        <v>13</v>
      </c>
      <c r="H14" s="125"/>
      <c r="I14" s="125"/>
      <c r="J14" s="125"/>
    </row>
    <row r="15" spans="1:10" ht="25.5" x14ac:dyDescent="0.2">
      <c r="A15" s="11"/>
      <c r="B15" s="12"/>
      <c r="C15" s="12"/>
      <c r="D15" s="13"/>
      <c r="E15" s="14"/>
      <c r="F15" s="15"/>
      <c r="G15" s="16" t="s">
        <v>14</v>
      </c>
      <c r="H15" s="17" t="s">
        <v>15</v>
      </c>
      <c r="I15" s="16" t="s">
        <v>16</v>
      </c>
      <c r="J15" s="16" t="s">
        <v>17</v>
      </c>
    </row>
    <row r="16" spans="1:10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</row>
    <row r="17" spans="1:10" x14ac:dyDescent="0.2">
      <c r="A17" s="18" t="s">
        <v>18</v>
      </c>
      <c r="B17" s="19"/>
      <c r="C17" s="20"/>
      <c r="D17" s="21" t="s">
        <v>53</v>
      </c>
      <c r="E17" s="22"/>
      <c r="F17" s="23"/>
      <c r="G17" s="23"/>
      <c r="H17" s="23"/>
      <c r="I17" s="23"/>
      <c r="J17" s="23"/>
    </row>
    <row r="18" spans="1:10" ht="24" x14ac:dyDescent="0.2">
      <c r="A18" s="24"/>
      <c r="B18" s="25" t="s">
        <v>20</v>
      </c>
      <c r="C18" s="26" t="s">
        <v>21</v>
      </c>
      <c r="D18" s="58" t="s">
        <v>54</v>
      </c>
      <c r="E18" s="28" t="s">
        <v>11</v>
      </c>
      <c r="F18" s="29">
        <v>1</v>
      </c>
      <c r="G18" s="29">
        <v>2226.14</v>
      </c>
      <c r="H18" s="30">
        <f t="shared" ref="H18:H29" si="0">$F$12</f>
        <v>0.15</v>
      </c>
      <c r="I18" s="29">
        <f t="shared" ref="I18:I29" si="1">ROUND(G18+(G18*$F$13),2)</f>
        <v>2713.44</v>
      </c>
      <c r="J18" s="29">
        <f t="shared" ref="J18:J29" si="2">ROUND(I18*F18,2)</f>
        <v>2713.44</v>
      </c>
    </row>
    <row r="19" spans="1:10" x14ac:dyDescent="0.2">
      <c r="A19" s="33"/>
      <c r="B19" s="25" t="s">
        <v>20</v>
      </c>
      <c r="C19" s="26" t="s">
        <v>21</v>
      </c>
      <c r="D19" s="59" t="s">
        <v>55</v>
      </c>
      <c r="E19" s="28" t="s">
        <v>11</v>
      </c>
      <c r="F19" s="29">
        <v>1</v>
      </c>
      <c r="G19" s="29">
        <v>7521.99</v>
      </c>
      <c r="H19" s="30">
        <f t="shared" si="0"/>
        <v>0.15</v>
      </c>
      <c r="I19" s="29">
        <f t="shared" si="1"/>
        <v>9168.5499999999993</v>
      </c>
      <c r="J19" s="29">
        <f t="shared" si="2"/>
        <v>9168.5499999999993</v>
      </c>
    </row>
    <row r="20" spans="1:10" x14ac:dyDescent="0.2">
      <c r="A20" s="33"/>
      <c r="B20" s="25" t="s">
        <v>20</v>
      </c>
      <c r="C20" s="26" t="s">
        <v>21</v>
      </c>
      <c r="D20" s="60" t="s">
        <v>56</v>
      </c>
      <c r="E20" s="28" t="s">
        <v>11</v>
      </c>
      <c r="F20" s="29">
        <v>1</v>
      </c>
      <c r="G20" s="29">
        <v>1445.04</v>
      </c>
      <c r="H20" s="30">
        <f t="shared" si="0"/>
        <v>0.15</v>
      </c>
      <c r="I20" s="29">
        <f t="shared" si="1"/>
        <v>1761.36</v>
      </c>
      <c r="J20" s="29">
        <f t="shared" si="2"/>
        <v>1761.36</v>
      </c>
    </row>
    <row r="21" spans="1:10" x14ac:dyDescent="0.2">
      <c r="A21" s="33"/>
      <c r="B21" s="25" t="s">
        <v>34</v>
      </c>
      <c r="C21" s="26">
        <v>21011</v>
      </c>
      <c r="D21" s="60" t="s">
        <v>57</v>
      </c>
      <c r="E21" s="28" t="s">
        <v>24</v>
      </c>
      <c r="F21" s="29">
        <v>120</v>
      </c>
      <c r="G21" s="29">
        <v>45.5</v>
      </c>
      <c r="H21" s="30">
        <f t="shared" si="0"/>
        <v>0.15</v>
      </c>
      <c r="I21" s="29">
        <f t="shared" si="1"/>
        <v>55.46</v>
      </c>
      <c r="J21" s="29">
        <f t="shared" si="2"/>
        <v>6655.2</v>
      </c>
    </row>
    <row r="22" spans="1:10" x14ac:dyDescent="0.2">
      <c r="A22" s="33"/>
      <c r="B22" s="25" t="s">
        <v>34</v>
      </c>
      <c r="C22" s="26">
        <v>3911</v>
      </c>
      <c r="D22" s="60" t="s">
        <v>58</v>
      </c>
      <c r="E22" s="28" t="s">
        <v>11</v>
      </c>
      <c r="F22" s="29">
        <v>20</v>
      </c>
      <c r="G22" s="29">
        <v>17.28</v>
      </c>
      <c r="H22" s="30">
        <f t="shared" si="0"/>
        <v>0.15</v>
      </c>
      <c r="I22" s="29">
        <f t="shared" si="1"/>
        <v>21.06</v>
      </c>
      <c r="J22" s="29">
        <f t="shared" si="2"/>
        <v>421.2</v>
      </c>
    </row>
    <row r="23" spans="1:10" x14ac:dyDescent="0.2">
      <c r="A23" s="33"/>
      <c r="B23" s="25" t="s">
        <v>34</v>
      </c>
      <c r="C23" s="26">
        <v>39261</v>
      </c>
      <c r="D23" s="60" t="s">
        <v>59</v>
      </c>
      <c r="E23" s="28" t="s">
        <v>24</v>
      </c>
      <c r="F23" s="29">
        <v>130</v>
      </c>
      <c r="G23" s="29">
        <v>31.3</v>
      </c>
      <c r="H23" s="30">
        <f t="shared" si="0"/>
        <v>0.15</v>
      </c>
      <c r="I23" s="29">
        <f t="shared" si="1"/>
        <v>38.15</v>
      </c>
      <c r="J23" s="29">
        <f t="shared" si="2"/>
        <v>4959.5</v>
      </c>
    </row>
    <row r="24" spans="1:10" x14ac:dyDescent="0.2">
      <c r="A24" s="33"/>
      <c r="B24" s="25" t="s">
        <v>20</v>
      </c>
      <c r="C24" s="26"/>
      <c r="D24" s="60" t="s">
        <v>60</v>
      </c>
      <c r="E24" s="28" t="s">
        <v>11</v>
      </c>
      <c r="F24" s="29">
        <v>1</v>
      </c>
      <c r="G24" s="29">
        <v>134.68</v>
      </c>
      <c r="H24" s="30">
        <f t="shared" si="0"/>
        <v>0.15</v>
      </c>
      <c r="I24" s="29">
        <f t="shared" si="1"/>
        <v>164.16</v>
      </c>
      <c r="J24" s="29">
        <f t="shared" si="2"/>
        <v>164.16</v>
      </c>
    </row>
    <row r="25" spans="1:10" x14ac:dyDescent="0.2">
      <c r="A25" s="33"/>
      <c r="B25" s="25" t="s">
        <v>34</v>
      </c>
      <c r="C25" s="26">
        <v>1796</v>
      </c>
      <c r="D25" s="60" t="s">
        <v>61</v>
      </c>
      <c r="E25" s="28" t="s">
        <v>11</v>
      </c>
      <c r="F25" s="29">
        <v>1</v>
      </c>
      <c r="G25" s="29">
        <v>47.1</v>
      </c>
      <c r="H25" s="30">
        <f t="shared" si="0"/>
        <v>0.15</v>
      </c>
      <c r="I25" s="29">
        <f t="shared" si="1"/>
        <v>57.41</v>
      </c>
      <c r="J25" s="29">
        <f t="shared" si="2"/>
        <v>57.41</v>
      </c>
    </row>
    <row r="26" spans="1:10" x14ac:dyDescent="0.2">
      <c r="A26" s="33"/>
      <c r="B26" s="25" t="s">
        <v>20</v>
      </c>
      <c r="C26" s="26"/>
      <c r="D26" s="61" t="s">
        <v>62</v>
      </c>
      <c r="E26" s="28" t="s">
        <v>11</v>
      </c>
      <c r="F26" s="29">
        <v>1</v>
      </c>
      <c r="G26" s="29">
        <v>65.209999999999994</v>
      </c>
      <c r="H26" s="30">
        <f t="shared" si="0"/>
        <v>0.15</v>
      </c>
      <c r="I26" s="29">
        <f t="shared" si="1"/>
        <v>79.48</v>
      </c>
      <c r="J26" s="29">
        <f t="shared" si="2"/>
        <v>79.48</v>
      </c>
    </row>
    <row r="27" spans="1:10" x14ac:dyDescent="0.2">
      <c r="A27" s="33"/>
      <c r="B27" s="25" t="s">
        <v>34</v>
      </c>
      <c r="C27" s="62">
        <v>4180</v>
      </c>
      <c r="D27" s="63" t="s">
        <v>63</v>
      </c>
      <c r="E27" s="64" t="s">
        <v>11</v>
      </c>
      <c r="F27" s="29">
        <v>2</v>
      </c>
      <c r="G27" s="29">
        <v>14.9</v>
      </c>
      <c r="H27" s="30">
        <f t="shared" si="0"/>
        <v>0.15</v>
      </c>
      <c r="I27" s="29">
        <f t="shared" si="1"/>
        <v>18.16</v>
      </c>
      <c r="J27" s="29">
        <f t="shared" si="2"/>
        <v>36.32</v>
      </c>
    </row>
    <row r="28" spans="1:10" ht="24" x14ac:dyDescent="0.2">
      <c r="A28" s="33"/>
      <c r="B28" s="25" t="s">
        <v>20</v>
      </c>
      <c r="C28" s="26"/>
      <c r="D28" s="65" t="s">
        <v>64</v>
      </c>
      <c r="E28" s="28" t="s">
        <v>11</v>
      </c>
      <c r="F28" s="29">
        <v>1</v>
      </c>
      <c r="G28" s="29">
        <v>203.09</v>
      </c>
      <c r="H28" s="30">
        <f t="shared" si="0"/>
        <v>0.15</v>
      </c>
      <c r="I28" s="29">
        <f t="shared" si="1"/>
        <v>247.55</v>
      </c>
      <c r="J28" s="29">
        <f t="shared" si="2"/>
        <v>247.55</v>
      </c>
    </row>
    <row r="29" spans="1:10" x14ac:dyDescent="0.2">
      <c r="A29" s="33"/>
      <c r="B29" s="25" t="s">
        <v>34</v>
      </c>
      <c r="C29" s="26">
        <v>1782</v>
      </c>
      <c r="D29" s="60" t="s">
        <v>65</v>
      </c>
      <c r="E29" s="28" t="s">
        <v>11</v>
      </c>
      <c r="F29" s="29">
        <v>1</v>
      </c>
      <c r="G29" s="29">
        <v>36.21</v>
      </c>
      <c r="H29" s="30">
        <f t="shared" si="0"/>
        <v>0.15</v>
      </c>
      <c r="I29" s="29">
        <f t="shared" si="1"/>
        <v>44.14</v>
      </c>
      <c r="J29" s="29">
        <f t="shared" si="2"/>
        <v>44.14</v>
      </c>
    </row>
    <row r="30" spans="1:10" x14ac:dyDescent="0.2">
      <c r="A30" s="33"/>
      <c r="B30" s="25"/>
      <c r="C30" s="26"/>
      <c r="D30" s="60"/>
      <c r="E30" s="28"/>
      <c r="F30" s="29"/>
      <c r="G30" s="40" t="s">
        <v>37</v>
      </c>
      <c r="H30" s="40"/>
      <c r="I30" s="41"/>
      <c r="J30" s="42">
        <f>SUM(J18:J29)</f>
        <v>26308.309999999998</v>
      </c>
    </row>
    <row r="31" spans="1:10" x14ac:dyDescent="0.2">
      <c r="A31" s="18" t="s">
        <v>66</v>
      </c>
      <c r="B31" s="19"/>
      <c r="C31" s="20"/>
      <c r="D31" s="21" t="s">
        <v>67</v>
      </c>
      <c r="E31" s="22"/>
      <c r="F31" s="23"/>
      <c r="G31" s="23"/>
      <c r="H31" s="23"/>
      <c r="I31" s="23"/>
      <c r="J31" s="23"/>
    </row>
    <row r="32" spans="1:10" x14ac:dyDescent="0.2">
      <c r="A32" s="33"/>
      <c r="B32" s="25" t="s">
        <v>20</v>
      </c>
      <c r="C32" s="26"/>
      <c r="D32" s="60" t="s">
        <v>68</v>
      </c>
      <c r="E32" s="28" t="s">
        <v>24</v>
      </c>
      <c r="F32" s="29">
        <v>1450</v>
      </c>
      <c r="G32" s="29">
        <v>11.72</v>
      </c>
      <c r="H32" s="30">
        <f t="shared" ref="H32:H50" si="3">$F$12</f>
        <v>0.15</v>
      </c>
      <c r="I32" s="29">
        <f t="shared" ref="I32:I51" si="4">ROUND(G32+(G32*$F$13),2)</f>
        <v>14.29</v>
      </c>
      <c r="J32" s="29">
        <f t="shared" ref="J32:J51" si="5">ROUND(I32*F32,2)</f>
        <v>20720.5</v>
      </c>
    </row>
    <row r="33" spans="1:10" x14ac:dyDescent="0.2">
      <c r="A33" s="33"/>
      <c r="B33" s="25" t="s">
        <v>20</v>
      </c>
      <c r="C33" s="26"/>
      <c r="D33" s="60" t="s">
        <v>69</v>
      </c>
      <c r="E33" s="28" t="s">
        <v>11</v>
      </c>
      <c r="F33" s="29">
        <v>12</v>
      </c>
      <c r="G33" s="29">
        <v>36.6</v>
      </c>
      <c r="H33" s="30">
        <f t="shared" si="3"/>
        <v>0.15</v>
      </c>
      <c r="I33" s="29">
        <f t="shared" si="4"/>
        <v>44.61</v>
      </c>
      <c r="J33" s="29">
        <f t="shared" si="5"/>
        <v>535.32000000000005</v>
      </c>
    </row>
    <row r="34" spans="1:10" x14ac:dyDescent="0.2">
      <c r="A34" s="33"/>
      <c r="B34" s="25" t="s">
        <v>20</v>
      </c>
      <c r="C34" s="26"/>
      <c r="D34" s="60" t="s">
        <v>70</v>
      </c>
      <c r="E34" s="28" t="s">
        <v>11</v>
      </c>
      <c r="F34" s="29">
        <v>15</v>
      </c>
      <c r="G34" s="29">
        <v>64.97</v>
      </c>
      <c r="H34" s="30">
        <f t="shared" si="3"/>
        <v>0.15</v>
      </c>
      <c r="I34" s="29">
        <f t="shared" si="4"/>
        <v>79.19</v>
      </c>
      <c r="J34" s="29">
        <f t="shared" si="5"/>
        <v>1187.8499999999999</v>
      </c>
    </row>
    <row r="35" spans="1:10" x14ac:dyDescent="0.2">
      <c r="A35" s="33"/>
      <c r="B35" s="25" t="s">
        <v>34</v>
      </c>
      <c r="C35" s="26">
        <v>34602</v>
      </c>
      <c r="D35" s="60" t="s">
        <v>71</v>
      </c>
      <c r="E35" s="28" t="s">
        <v>24</v>
      </c>
      <c r="F35" s="29">
        <v>350</v>
      </c>
      <c r="G35" s="29">
        <v>4.01</v>
      </c>
      <c r="H35" s="30">
        <f t="shared" si="3"/>
        <v>0.15</v>
      </c>
      <c r="I35" s="29">
        <f t="shared" si="4"/>
        <v>4.8899999999999997</v>
      </c>
      <c r="J35" s="29">
        <f t="shared" si="5"/>
        <v>1711.5</v>
      </c>
    </row>
    <row r="36" spans="1:10" x14ac:dyDescent="0.2">
      <c r="A36" s="33"/>
      <c r="B36" s="25" t="s">
        <v>20</v>
      </c>
      <c r="C36" s="26"/>
      <c r="D36" s="60" t="s">
        <v>72</v>
      </c>
      <c r="E36" s="28" t="s">
        <v>11</v>
      </c>
      <c r="F36" s="29">
        <v>1</v>
      </c>
      <c r="G36" s="29">
        <v>74.2</v>
      </c>
      <c r="H36" s="30">
        <f t="shared" si="3"/>
        <v>0.15</v>
      </c>
      <c r="I36" s="29">
        <f t="shared" si="4"/>
        <v>90.44</v>
      </c>
      <c r="J36" s="29">
        <f t="shared" si="5"/>
        <v>90.44</v>
      </c>
    </row>
    <row r="37" spans="1:10" x14ac:dyDescent="0.2">
      <c r="A37" s="33"/>
      <c r="B37" s="25" t="s">
        <v>34</v>
      </c>
      <c r="C37" s="26">
        <v>98</v>
      </c>
      <c r="D37" s="60" t="s">
        <v>73</v>
      </c>
      <c r="E37" s="28" t="s">
        <v>11</v>
      </c>
      <c r="F37" s="29">
        <v>3</v>
      </c>
      <c r="G37" s="29">
        <v>24.14</v>
      </c>
      <c r="H37" s="30">
        <f t="shared" si="3"/>
        <v>0.15</v>
      </c>
      <c r="I37" s="29">
        <f t="shared" si="4"/>
        <v>29.42</v>
      </c>
      <c r="J37" s="29">
        <f t="shared" si="5"/>
        <v>88.26</v>
      </c>
    </row>
    <row r="38" spans="1:10" x14ac:dyDescent="0.2">
      <c r="A38" s="33"/>
      <c r="B38" s="25" t="s">
        <v>34</v>
      </c>
      <c r="C38" s="26">
        <v>11676</v>
      </c>
      <c r="D38" s="60" t="s">
        <v>74</v>
      </c>
      <c r="E38" s="28" t="s">
        <v>11</v>
      </c>
      <c r="F38" s="29">
        <v>2</v>
      </c>
      <c r="G38" s="29">
        <v>29.31</v>
      </c>
      <c r="H38" s="30">
        <f t="shared" si="3"/>
        <v>0.15</v>
      </c>
      <c r="I38" s="29">
        <f t="shared" si="4"/>
        <v>35.729999999999997</v>
      </c>
      <c r="J38" s="29">
        <f t="shared" si="5"/>
        <v>71.459999999999994</v>
      </c>
    </row>
    <row r="39" spans="1:10" x14ac:dyDescent="0.2">
      <c r="A39" s="33"/>
      <c r="B39" s="25" t="s">
        <v>20</v>
      </c>
      <c r="C39" s="26"/>
      <c r="D39" s="60" t="s">
        <v>75</v>
      </c>
      <c r="E39" s="28" t="s">
        <v>11</v>
      </c>
      <c r="F39" s="29">
        <v>10</v>
      </c>
      <c r="G39" s="29">
        <v>7.92</v>
      </c>
      <c r="H39" s="30">
        <f t="shared" si="3"/>
        <v>0.15</v>
      </c>
      <c r="I39" s="29">
        <f t="shared" si="4"/>
        <v>9.65</v>
      </c>
      <c r="J39" s="29">
        <f t="shared" si="5"/>
        <v>96.5</v>
      </c>
    </row>
    <row r="40" spans="1:10" x14ac:dyDescent="0.2">
      <c r="A40" s="33"/>
      <c r="B40" s="25" t="s">
        <v>34</v>
      </c>
      <c r="C40" s="26">
        <v>7141</v>
      </c>
      <c r="D40" s="60" t="s">
        <v>76</v>
      </c>
      <c r="E40" s="28" t="s">
        <v>11</v>
      </c>
      <c r="F40" s="29">
        <v>4</v>
      </c>
      <c r="G40" s="29">
        <v>6.33</v>
      </c>
      <c r="H40" s="30">
        <f t="shared" si="3"/>
        <v>0.15</v>
      </c>
      <c r="I40" s="29">
        <f t="shared" si="4"/>
        <v>7.72</v>
      </c>
      <c r="J40" s="29">
        <f t="shared" si="5"/>
        <v>30.88</v>
      </c>
    </row>
    <row r="41" spans="1:10" x14ac:dyDescent="0.2">
      <c r="A41" s="33"/>
      <c r="B41" s="25" t="s">
        <v>34</v>
      </c>
      <c r="C41" s="26">
        <v>37106</v>
      </c>
      <c r="D41" s="60" t="s">
        <v>77</v>
      </c>
      <c r="E41" s="28" t="s">
        <v>11</v>
      </c>
      <c r="F41" s="29">
        <v>1</v>
      </c>
      <c r="G41" s="29">
        <v>3421.22</v>
      </c>
      <c r="H41" s="30">
        <f t="shared" si="3"/>
        <v>0.15</v>
      </c>
      <c r="I41" s="29">
        <f t="shared" si="4"/>
        <v>4170.13</v>
      </c>
      <c r="J41" s="29">
        <f t="shared" si="5"/>
        <v>4170.13</v>
      </c>
    </row>
    <row r="42" spans="1:10" x14ac:dyDescent="0.2">
      <c r="A42" s="33"/>
      <c r="B42" s="25" t="s">
        <v>20</v>
      </c>
      <c r="C42" s="26"/>
      <c r="D42" s="60" t="s">
        <v>78</v>
      </c>
      <c r="E42" s="28" t="s">
        <v>11</v>
      </c>
      <c r="F42" s="29">
        <v>1</v>
      </c>
      <c r="G42" s="29">
        <v>1234.1400000000001</v>
      </c>
      <c r="H42" s="30">
        <f t="shared" si="3"/>
        <v>0.15</v>
      </c>
      <c r="I42" s="29">
        <f t="shared" si="4"/>
        <v>1504.29</v>
      </c>
      <c r="J42" s="29">
        <f t="shared" si="5"/>
        <v>1504.29</v>
      </c>
    </row>
    <row r="43" spans="1:10" x14ac:dyDescent="0.2">
      <c r="A43" s="33"/>
      <c r="B43" s="25" t="s">
        <v>20</v>
      </c>
      <c r="C43" s="26"/>
      <c r="D43" s="60" t="s">
        <v>79</v>
      </c>
      <c r="E43" s="28" t="s">
        <v>24</v>
      </c>
      <c r="F43" s="29">
        <v>700</v>
      </c>
      <c r="G43" s="29">
        <v>5.48</v>
      </c>
      <c r="H43" s="30">
        <f t="shared" si="3"/>
        <v>0.15</v>
      </c>
      <c r="I43" s="29">
        <f t="shared" si="4"/>
        <v>6.68</v>
      </c>
      <c r="J43" s="29">
        <f t="shared" si="5"/>
        <v>4676</v>
      </c>
    </row>
    <row r="44" spans="1:10" x14ac:dyDescent="0.2">
      <c r="A44" s="33"/>
      <c r="B44" s="25" t="s">
        <v>20</v>
      </c>
      <c r="C44" s="26"/>
      <c r="D44" s="60" t="s">
        <v>80</v>
      </c>
      <c r="E44" s="28" t="s">
        <v>11</v>
      </c>
      <c r="F44" s="29">
        <v>3</v>
      </c>
      <c r="G44" s="29">
        <v>31.63</v>
      </c>
      <c r="H44" s="30">
        <f t="shared" si="3"/>
        <v>0.15</v>
      </c>
      <c r="I44" s="29">
        <f t="shared" si="4"/>
        <v>38.549999999999997</v>
      </c>
      <c r="J44" s="29">
        <f t="shared" si="5"/>
        <v>115.65</v>
      </c>
    </row>
    <row r="45" spans="1:10" x14ac:dyDescent="0.2">
      <c r="A45" s="33"/>
      <c r="B45" s="25" t="s">
        <v>20</v>
      </c>
      <c r="C45" s="26"/>
      <c r="D45" s="60" t="s">
        <v>81</v>
      </c>
      <c r="E45" s="28" t="s">
        <v>11</v>
      </c>
      <c r="F45" s="29">
        <v>4</v>
      </c>
      <c r="G45" s="29">
        <v>17.57</v>
      </c>
      <c r="H45" s="30">
        <f t="shared" si="3"/>
        <v>0.15</v>
      </c>
      <c r="I45" s="29">
        <f t="shared" si="4"/>
        <v>21.42</v>
      </c>
      <c r="J45" s="29">
        <f t="shared" si="5"/>
        <v>85.68</v>
      </c>
    </row>
    <row r="46" spans="1:10" x14ac:dyDescent="0.2">
      <c r="A46" s="33"/>
      <c r="B46" s="25" t="s">
        <v>20</v>
      </c>
      <c r="C46" s="26"/>
      <c r="D46" s="60" t="s">
        <v>82</v>
      </c>
      <c r="E46" s="28" t="s">
        <v>24</v>
      </c>
      <c r="F46" s="29">
        <v>600</v>
      </c>
      <c r="G46" s="29">
        <v>3.73</v>
      </c>
      <c r="H46" s="30">
        <f t="shared" si="3"/>
        <v>0.15</v>
      </c>
      <c r="I46" s="29">
        <f t="shared" si="4"/>
        <v>4.55</v>
      </c>
      <c r="J46" s="29">
        <f t="shared" si="5"/>
        <v>2730</v>
      </c>
    </row>
    <row r="47" spans="1:10" x14ac:dyDescent="0.2">
      <c r="A47" s="33"/>
      <c r="B47" s="25" t="s">
        <v>20</v>
      </c>
      <c r="C47" s="26"/>
      <c r="D47" s="60" t="s">
        <v>83</v>
      </c>
      <c r="E47" s="28" t="s">
        <v>11</v>
      </c>
      <c r="F47" s="29">
        <v>6</v>
      </c>
      <c r="G47" s="29">
        <v>24.54</v>
      </c>
      <c r="H47" s="30">
        <f t="shared" si="3"/>
        <v>0.15</v>
      </c>
      <c r="I47" s="29">
        <f t="shared" si="4"/>
        <v>29.91</v>
      </c>
      <c r="J47" s="29">
        <f t="shared" si="5"/>
        <v>179.46</v>
      </c>
    </row>
    <row r="48" spans="1:10" x14ac:dyDescent="0.2">
      <c r="A48" s="33"/>
      <c r="B48" s="25" t="s">
        <v>20</v>
      </c>
      <c r="C48" s="26"/>
      <c r="D48" s="60" t="s">
        <v>84</v>
      </c>
      <c r="E48" s="28" t="s">
        <v>11</v>
      </c>
      <c r="F48" s="29">
        <v>10</v>
      </c>
      <c r="G48" s="29">
        <v>15.12</v>
      </c>
      <c r="H48" s="30">
        <f t="shared" si="3"/>
        <v>0.15</v>
      </c>
      <c r="I48" s="29">
        <f t="shared" si="4"/>
        <v>18.43</v>
      </c>
      <c r="J48" s="29">
        <f t="shared" si="5"/>
        <v>184.3</v>
      </c>
    </row>
    <row r="49" spans="1:12" x14ac:dyDescent="0.2">
      <c r="A49" s="33"/>
      <c r="B49" s="25" t="s">
        <v>20</v>
      </c>
      <c r="C49" s="26"/>
      <c r="D49" s="60" t="s">
        <v>85</v>
      </c>
      <c r="E49" s="28" t="s">
        <v>11</v>
      </c>
      <c r="F49" s="29">
        <v>1</v>
      </c>
      <c r="G49" s="29">
        <v>81.23</v>
      </c>
      <c r="H49" s="30">
        <f t="shared" si="3"/>
        <v>0.15</v>
      </c>
      <c r="I49" s="29">
        <f t="shared" si="4"/>
        <v>99.01</v>
      </c>
      <c r="J49" s="29">
        <f t="shared" si="5"/>
        <v>99.01</v>
      </c>
    </row>
    <row r="50" spans="1:12" x14ac:dyDescent="0.2">
      <c r="A50" s="33"/>
      <c r="B50" s="25" t="s">
        <v>34</v>
      </c>
      <c r="C50" s="26">
        <v>12773</v>
      </c>
      <c r="D50" s="60" t="s">
        <v>86</v>
      </c>
      <c r="E50" s="28" t="s">
        <v>11</v>
      </c>
      <c r="F50" s="29">
        <v>1</v>
      </c>
      <c r="G50" s="29">
        <v>122.88</v>
      </c>
      <c r="H50" s="30">
        <f t="shared" si="3"/>
        <v>0.15</v>
      </c>
      <c r="I50" s="29">
        <f t="shared" si="4"/>
        <v>149.78</v>
      </c>
      <c r="J50" s="29">
        <f t="shared" si="5"/>
        <v>149.78</v>
      </c>
    </row>
    <row r="51" spans="1:12" x14ac:dyDescent="0.2">
      <c r="A51" s="33"/>
      <c r="B51" s="25" t="s">
        <v>20</v>
      </c>
      <c r="C51" s="26"/>
      <c r="D51" s="27" t="s">
        <v>87</v>
      </c>
      <c r="E51" s="28" t="s">
        <v>11</v>
      </c>
      <c r="F51" s="29">
        <v>1</v>
      </c>
      <c r="G51" s="29">
        <f>1500+8400</f>
        <v>9900</v>
      </c>
      <c r="H51" s="30">
        <f>$F$13</f>
        <v>0.21890000000000001</v>
      </c>
      <c r="I51" s="29">
        <f t="shared" si="4"/>
        <v>12067.11</v>
      </c>
      <c r="J51" s="29">
        <f t="shared" si="5"/>
        <v>12067.11</v>
      </c>
    </row>
    <row r="52" spans="1:12" x14ac:dyDescent="0.2">
      <c r="A52" s="33"/>
      <c r="B52" s="25"/>
      <c r="C52" s="26"/>
      <c r="D52" s="27"/>
      <c r="E52" s="28"/>
      <c r="F52" s="29"/>
      <c r="G52" s="40" t="s">
        <v>43</v>
      </c>
      <c r="H52" s="40"/>
      <c r="I52" s="41"/>
      <c r="J52" s="42">
        <f>SUM(J32:J51)</f>
        <v>50494.12</v>
      </c>
    </row>
    <row r="53" spans="1:12" x14ac:dyDescent="0.2">
      <c r="A53" s="66" t="s">
        <v>88</v>
      </c>
      <c r="B53" s="43"/>
      <c r="C53" s="20"/>
      <c r="D53" s="21" t="s">
        <v>38</v>
      </c>
      <c r="E53" s="44"/>
      <c r="F53" s="23"/>
      <c r="G53" s="23"/>
      <c r="H53" s="23"/>
      <c r="I53" s="23"/>
      <c r="J53" s="45"/>
    </row>
    <row r="54" spans="1:12" ht="26.1" customHeight="1" x14ac:dyDescent="0.2">
      <c r="A54" s="46"/>
      <c r="B54" s="57" t="s">
        <v>34</v>
      </c>
      <c r="C54" s="26" t="s">
        <v>39</v>
      </c>
      <c r="D54" s="32" t="s">
        <v>40</v>
      </c>
      <c r="E54" s="28" t="s">
        <v>41</v>
      </c>
      <c r="F54" s="29">
        <f>(2110)*0.5*0.8</f>
        <v>844</v>
      </c>
      <c r="G54" s="29">
        <v>9.8000000000000007</v>
      </c>
      <c r="H54" s="30">
        <f>$F$13</f>
        <v>0.21890000000000001</v>
      </c>
      <c r="I54" s="29">
        <f>ROUND(G54+(G54*$F$13),2)</f>
        <v>11.95</v>
      </c>
      <c r="J54" s="29">
        <f>ROUND(I54*F54,2)</f>
        <v>10085.799999999999</v>
      </c>
    </row>
    <row r="55" spans="1:12" x14ac:dyDescent="0.2">
      <c r="A55" s="46"/>
      <c r="B55" s="35" t="s">
        <v>20</v>
      </c>
      <c r="C55" s="26"/>
      <c r="D55" s="27" t="s">
        <v>42</v>
      </c>
      <c r="E55" s="28" t="s">
        <v>41</v>
      </c>
      <c r="F55" s="29">
        <f>F54</f>
        <v>844</v>
      </c>
      <c r="G55" s="29">
        <v>2.5</v>
      </c>
      <c r="H55" s="30">
        <f>$F$13</f>
        <v>0.21890000000000001</v>
      </c>
      <c r="I55" s="29">
        <f>ROUND(G55+(G55*$F$13),2)</f>
        <v>3.05</v>
      </c>
      <c r="J55" s="29">
        <f>ROUND(I55*F55,2)</f>
        <v>2574.1999999999998</v>
      </c>
    </row>
    <row r="56" spans="1:12" x14ac:dyDescent="0.2">
      <c r="A56" s="46"/>
      <c r="B56" s="35"/>
      <c r="C56" s="26"/>
      <c r="D56" s="27"/>
      <c r="E56" s="28"/>
      <c r="F56" s="29"/>
      <c r="G56" s="29"/>
      <c r="H56" s="29"/>
      <c r="I56" s="29"/>
      <c r="J56" s="29"/>
    </row>
    <row r="57" spans="1:12" x14ac:dyDescent="0.2">
      <c r="A57" s="48"/>
      <c r="B57" s="47"/>
      <c r="C57" s="48"/>
      <c r="D57" s="49"/>
      <c r="E57" s="50"/>
      <c r="F57" s="51"/>
      <c r="G57" s="40" t="s">
        <v>43</v>
      </c>
      <c r="H57" s="40"/>
      <c r="I57" s="40"/>
      <c r="J57" s="42">
        <f>SUM(J54:J55)</f>
        <v>12660</v>
      </c>
    </row>
    <row r="58" spans="1:12" x14ac:dyDescent="0.2">
      <c r="A58" s="33"/>
      <c r="B58" s="67"/>
      <c r="G58" s="52"/>
      <c r="H58" s="52"/>
      <c r="I58" s="52"/>
      <c r="J58" s="53"/>
    </row>
    <row r="59" spans="1:12" x14ac:dyDescent="0.2">
      <c r="G59" s="52"/>
      <c r="H59" s="52"/>
      <c r="I59" s="52"/>
      <c r="J59" s="54"/>
    </row>
    <row r="60" spans="1:12" x14ac:dyDescent="0.2">
      <c r="L60" s="55"/>
    </row>
    <row r="61" spans="1:12" ht="16.5" x14ac:dyDescent="0.2">
      <c r="D61" s="127" t="s">
        <v>44</v>
      </c>
      <c r="E61" s="127"/>
      <c r="F61" s="127"/>
      <c r="G61" s="128">
        <f>J57+J52+J30</f>
        <v>89462.43</v>
      </c>
      <c r="H61" s="128"/>
      <c r="I61" s="128"/>
      <c r="J61" s="128"/>
      <c r="L61" s="55"/>
    </row>
    <row r="63" spans="1:12" ht="15" x14ac:dyDescent="0.2">
      <c r="D63" s="56"/>
    </row>
    <row r="64" spans="1:12" x14ac:dyDescent="0.2">
      <c r="D64" s="2" t="s">
        <v>45</v>
      </c>
    </row>
  </sheetData>
  <mergeCells count="5">
    <mergeCell ref="A9:J9"/>
    <mergeCell ref="G14:J14"/>
    <mergeCell ref="A16:J16"/>
    <mergeCell ref="D61:F61"/>
    <mergeCell ref="G61:J61"/>
  </mergeCells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0:IU34"/>
  <sheetViews>
    <sheetView showGridLines="0" topLeftCell="A25" zoomScale="120" zoomScaleNormal="120" workbookViewId="0">
      <selection activeCell="E13" sqref="E13"/>
    </sheetView>
  </sheetViews>
  <sheetFormatPr defaultColWidth="10.75" defaultRowHeight="14.25" x14ac:dyDescent="0.2"/>
  <cols>
    <col min="1" max="1" width="4.625" style="1" customWidth="1"/>
    <col min="2" max="2" width="1.75" style="1" customWidth="1"/>
    <col min="3" max="3" width="5.125" style="1" customWidth="1"/>
    <col min="4" max="4" width="42.625" style="1" customWidth="1"/>
    <col min="5" max="5" width="13.25" style="1" customWidth="1"/>
    <col min="6" max="6" width="12.75" style="1" customWidth="1"/>
    <col min="7" max="7" width="8" style="1" customWidth="1"/>
    <col min="8" max="8" width="11.25" style="1" customWidth="1"/>
    <col min="9" max="9" width="7.5" style="1" customWidth="1"/>
    <col min="10" max="10" width="12.375" style="1" customWidth="1"/>
    <col min="11" max="11" width="4" style="1" customWidth="1"/>
    <col min="12" max="12" width="3.875" style="1" customWidth="1"/>
    <col min="13" max="255" width="10.75" style="1"/>
    <col min="258" max="258" width="1.75" customWidth="1"/>
    <col min="259" max="259" width="5.125" customWidth="1"/>
    <col min="260" max="260" width="39.25" customWidth="1"/>
    <col min="261" max="261" width="13.25" customWidth="1"/>
    <col min="262" max="262" width="12.75" customWidth="1"/>
    <col min="263" max="263" width="8" customWidth="1"/>
    <col min="264" max="264" width="11.25" customWidth="1"/>
    <col min="265" max="265" width="7.5" customWidth="1"/>
    <col min="266" max="266" width="12.375" customWidth="1"/>
    <col min="514" max="514" width="1.75" customWidth="1"/>
    <col min="515" max="515" width="5.125" customWidth="1"/>
    <col min="516" max="516" width="39.25" customWidth="1"/>
    <col min="517" max="517" width="13.25" customWidth="1"/>
    <col min="518" max="518" width="12.75" customWidth="1"/>
    <col min="519" max="519" width="8" customWidth="1"/>
    <col min="520" max="520" width="11.25" customWidth="1"/>
    <col min="521" max="521" width="7.5" customWidth="1"/>
    <col min="522" max="522" width="12.375" customWidth="1"/>
    <col min="770" max="770" width="1.75" customWidth="1"/>
    <col min="771" max="771" width="5.125" customWidth="1"/>
    <col min="772" max="772" width="39.25" customWidth="1"/>
    <col min="773" max="773" width="13.25" customWidth="1"/>
    <col min="774" max="774" width="12.75" customWidth="1"/>
    <col min="775" max="775" width="8" customWidth="1"/>
    <col min="776" max="776" width="11.25" customWidth="1"/>
    <col min="777" max="777" width="7.5" customWidth="1"/>
    <col min="778" max="778" width="12.375" customWidth="1"/>
  </cols>
  <sheetData>
    <row r="10" spans="3:10" ht="18" x14ac:dyDescent="0.25">
      <c r="C10" s="124" t="s">
        <v>89</v>
      </c>
      <c r="D10" s="124"/>
      <c r="E10" s="124"/>
      <c r="F10" s="124"/>
      <c r="G10" s="124"/>
      <c r="H10" s="124"/>
      <c r="I10" s="124"/>
      <c r="J10" s="124"/>
    </row>
    <row r="11" spans="3:10" x14ac:dyDescent="0.2">
      <c r="C11" s="68"/>
      <c r="D11" s="68"/>
      <c r="E11" s="68"/>
      <c r="F11" s="68"/>
      <c r="G11" s="68"/>
      <c r="H11" s="68"/>
      <c r="I11" s="68"/>
      <c r="J11" s="68"/>
    </row>
    <row r="12" spans="3:10" x14ac:dyDescent="0.2">
      <c r="C12"/>
      <c r="D12"/>
      <c r="E12"/>
      <c r="F12"/>
    </row>
    <row r="14" spans="3:10" x14ac:dyDescent="0.2">
      <c r="C14" s="69" t="s">
        <v>90</v>
      </c>
      <c r="D14" s="70"/>
    </row>
    <row r="15" spans="3:10" x14ac:dyDescent="0.2">
      <c r="C15" s="69"/>
      <c r="D15" s="70"/>
    </row>
    <row r="16" spans="3:10" x14ac:dyDescent="0.2">
      <c r="C16" s="69" t="s">
        <v>91</v>
      </c>
      <c r="D16" s="70"/>
      <c r="H16" s="71"/>
    </row>
    <row r="17" spans="3:47" x14ac:dyDescent="0.2">
      <c r="C17" s="69"/>
      <c r="D17" s="70"/>
      <c r="H17" s="71"/>
    </row>
    <row r="18" spans="3:47" x14ac:dyDescent="0.2">
      <c r="C18" s="69" t="s">
        <v>92</v>
      </c>
      <c r="D18" s="70"/>
    </row>
    <row r="20" spans="3:47" ht="14.25" customHeight="1" x14ac:dyDescent="0.2">
      <c r="C20" s="72" t="s">
        <v>93</v>
      </c>
      <c r="D20" s="73" t="s">
        <v>94</v>
      </c>
      <c r="E20" s="73" t="s">
        <v>95</v>
      </c>
      <c r="F20" s="72" t="s">
        <v>96</v>
      </c>
      <c r="G20" s="129" t="s">
        <v>97</v>
      </c>
      <c r="H20" s="129"/>
      <c r="I20" s="129"/>
      <c r="J20" s="129"/>
      <c r="K20" s="74"/>
      <c r="L20" s="74"/>
    </row>
    <row r="21" spans="3:47" x14ac:dyDescent="0.2">
      <c r="C21" s="33"/>
      <c r="D21" s="75"/>
      <c r="E21" s="75" t="s">
        <v>98</v>
      </c>
      <c r="F21" s="75" t="s">
        <v>99</v>
      </c>
      <c r="G21" s="130" t="s">
        <v>100</v>
      </c>
      <c r="H21" s="130"/>
      <c r="I21" s="130" t="s">
        <v>101</v>
      </c>
      <c r="J21" s="130"/>
      <c r="K21" s="131"/>
      <c r="L21" s="131"/>
    </row>
    <row r="22" spans="3:47" x14ac:dyDescent="0.2">
      <c r="C22" s="50"/>
      <c r="D22" s="48"/>
      <c r="E22" s="48"/>
      <c r="F22" s="48" t="s">
        <v>102</v>
      </c>
      <c r="G22" s="76" t="s">
        <v>98</v>
      </c>
      <c r="H22" s="77" t="s">
        <v>103</v>
      </c>
      <c r="I22" s="76" t="s">
        <v>98</v>
      </c>
      <c r="J22" s="77" t="s">
        <v>103</v>
      </c>
      <c r="K22" s="68"/>
      <c r="L22" s="68"/>
    </row>
    <row r="23" spans="3:47" ht="15" x14ac:dyDescent="0.2">
      <c r="C23" s="35">
        <v>1</v>
      </c>
      <c r="D23" s="78" t="s">
        <v>104</v>
      </c>
      <c r="E23" s="79">
        <f>F23/F27</f>
        <v>0.1309393331080059</v>
      </c>
      <c r="F23" s="80">
        <f>'Orçamento Follador'!G40</f>
        <v>17619.16</v>
      </c>
      <c r="G23" s="79">
        <v>1</v>
      </c>
      <c r="H23" s="29">
        <f>($F$23*$G23)</f>
        <v>17619.16</v>
      </c>
      <c r="I23" s="79"/>
      <c r="J23" s="29">
        <f>($F$23*$I23)</f>
        <v>0</v>
      </c>
      <c r="K23" s="81"/>
      <c r="L23" s="3"/>
    </row>
    <row r="24" spans="3:47" ht="15" x14ac:dyDescent="0.2">
      <c r="C24" s="35">
        <v>2</v>
      </c>
      <c r="D24" s="78" t="s">
        <v>105</v>
      </c>
      <c r="E24" s="79">
        <f>F24/F27</f>
        <v>0.20420769306000341</v>
      </c>
      <c r="F24" s="80">
        <f>'Orçamento Bucior'!G40</f>
        <v>27478.129999999997</v>
      </c>
      <c r="G24" s="79">
        <v>1</v>
      </c>
      <c r="H24" s="29">
        <f>($F$24*$G24)</f>
        <v>27478.129999999997</v>
      </c>
      <c r="I24" s="79"/>
      <c r="J24" s="29"/>
      <c r="K24" s="81"/>
      <c r="L24" s="3"/>
    </row>
    <row r="25" spans="3:47" ht="30" x14ac:dyDescent="0.2">
      <c r="C25" s="35">
        <v>3</v>
      </c>
      <c r="D25" s="78" t="s">
        <v>106</v>
      </c>
      <c r="E25" s="79">
        <f>F25/F27</f>
        <v>0.66485297383199082</v>
      </c>
      <c r="F25" s="80">
        <f>'Orçamento Wawruch'!G61</f>
        <v>89462.43</v>
      </c>
      <c r="G25" s="79"/>
      <c r="H25" s="29"/>
      <c r="I25" s="79">
        <v>1</v>
      </c>
      <c r="J25" s="29">
        <f>I25*F25</f>
        <v>89462.43</v>
      </c>
      <c r="K25" s="81"/>
      <c r="L25" s="3"/>
    </row>
    <row r="26" spans="3:47" ht="15" x14ac:dyDescent="0.2">
      <c r="C26" s="35"/>
      <c r="D26" s="78"/>
      <c r="E26" s="79"/>
      <c r="F26" s="80"/>
      <c r="G26" s="79"/>
      <c r="H26" s="29"/>
      <c r="I26" s="79"/>
      <c r="J26" s="29"/>
      <c r="K26" s="81"/>
      <c r="L26" s="3"/>
    </row>
    <row r="27" spans="3:47" x14ac:dyDescent="0.2">
      <c r="E27" s="82" t="s">
        <v>107</v>
      </c>
      <c r="F27" s="83">
        <f>SUM(F23:F26)</f>
        <v>134559.71999999997</v>
      </c>
      <c r="G27" s="83"/>
      <c r="H27" s="83"/>
      <c r="I27" s="83"/>
      <c r="J27" s="84"/>
      <c r="K27" s="83"/>
      <c r="L27" s="83"/>
    </row>
    <row r="28" spans="3:47" x14ac:dyDescent="0.2">
      <c r="E28" s="83"/>
      <c r="F28" s="83"/>
      <c r="G28" s="83"/>
      <c r="H28" s="83"/>
      <c r="I28" s="83"/>
      <c r="J28" s="84"/>
      <c r="K28" s="83"/>
      <c r="L28" s="83"/>
    </row>
    <row r="29" spans="3:47" x14ac:dyDescent="0.2">
      <c r="C29" s="85" t="s">
        <v>108</v>
      </c>
      <c r="D29" s="67"/>
      <c r="E29" s="86"/>
      <c r="F29" s="87"/>
      <c r="G29" s="79">
        <f>H29/F27</f>
        <v>0.33514702616800929</v>
      </c>
      <c r="H29" s="80">
        <f>SUM(H23:H26)</f>
        <v>45097.289999999994</v>
      </c>
      <c r="I29" s="79">
        <f>J29/$F$27</f>
        <v>0.66485297383199082</v>
      </c>
      <c r="J29" s="80">
        <f>SUM(J23:J26)</f>
        <v>89462.43</v>
      </c>
      <c r="K29" s="81"/>
      <c r="L29" s="83"/>
    </row>
    <row r="30" spans="3:47" x14ac:dyDescent="0.2">
      <c r="C30" s="50" t="s">
        <v>109</v>
      </c>
      <c r="D30" s="88"/>
      <c r="E30" s="89"/>
      <c r="F30" s="90"/>
      <c r="G30" s="79">
        <f>SUM(G29)</f>
        <v>0.33514702616800929</v>
      </c>
      <c r="H30" s="80">
        <f>SUM(H29)</f>
        <v>45097.289999999994</v>
      </c>
      <c r="I30" s="79">
        <f>I29+G30</f>
        <v>1</v>
      </c>
      <c r="J30" s="80">
        <f>J29+H30</f>
        <v>134559.71999999997</v>
      </c>
      <c r="K30" s="81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</row>
    <row r="31" spans="3:47" x14ac:dyDescent="0.2">
      <c r="E31" s="83"/>
      <c r="F31" s="83"/>
      <c r="G31" s="81"/>
      <c r="H31" s="83"/>
      <c r="I31" s="81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</row>
    <row r="32" spans="3:47" x14ac:dyDescent="0.2"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</row>
    <row r="34" spans="4:9" ht="15" x14ac:dyDescent="0.2">
      <c r="D34" s="91" t="s">
        <v>45</v>
      </c>
      <c r="I34" s="71"/>
    </row>
  </sheetData>
  <mergeCells count="5">
    <mergeCell ref="C10:J10"/>
    <mergeCell ref="G20:J20"/>
    <mergeCell ref="G21:H21"/>
    <mergeCell ref="I21:J21"/>
    <mergeCell ref="K21:L21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CAED5"/>
    <pageSetUpPr fitToPage="1"/>
  </sheetPr>
  <dimension ref="B1:AIN59"/>
  <sheetViews>
    <sheetView showGridLines="0" topLeftCell="A10" zoomScale="120" zoomScaleNormal="120" workbookViewId="0">
      <selection activeCell="B17" sqref="B17:E22"/>
    </sheetView>
  </sheetViews>
  <sheetFormatPr defaultColWidth="1" defaultRowHeight="14.25" x14ac:dyDescent="0.2"/>
  <cols>
    <col min="1" max="1" width="2.375" customWidth="1"/>
    <col min="2" max="2" width="4.25" customWidth="1"/>
    <col min="3" max="3" width="7.625" customWidth="1"/>
    <col min="4" max="4" width="4.625" customWidth="1"/>
    <col min="5" max="5" width="10" customWidth="1"/>
    <col min="6" max="6" width="7.125" customWidth="1"/>
    <col min="7" max="7" width="21.25" customWidth="1"/>
    <col min="8" max="8" width="21.375" customWidth="1"/>
    <col min="9" max="13" width="8.375" customWidth="1"/>
    <col min="14" max="14" width="7.625" customWidth="1"/>
    <col min="15" max="15" width="1.375" customWidth="1"/>
    <col min="16" max="16" width="9.75" hidden="1" customWidth="1"/>
    <col min="17" max="17" width="11.125" hidden="1" customWidth="1"/>
    <col min="19" max="924" width="1" hidden="1"/>
  </cols>
  <sheetData>
    <row r="1" spans="2:19" ht="68.25" customHeight="1" x14ac:dyDescent="0.2"/>
    <row r="2" spans="2:19" ht="18.75" customHeight="1" x14ac:dyDescent="0.2">
      <c r="C2" s="132" t="s">
        <v>110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4" spans="2:19" ht="15.75" customHeight="1" x14ac:dyDescent="0.2">
      <c r="B4" s="133"/>
      <c r="C4" s="133"/>
      <c r="D4" s="133"/>
      <c r="E4" s="133"/>
      <c r="F4" s="133"/>
      <c r="G4" s="133"/>
      <c r="H4" s="134" t="s">
        <v>111</v>
      </c>
      <c r="I4" s="134"/>
      <c r="J4" s="134"/>
      <c r="K4" s="134"/>
      <c r="L4" s="134"/>
      <c r="M4" s="134"/>
      <c r="N4" s="134"/>
      <c r="O4" s="92"/>
      <c r="P4" s="92"/>
      <c r="Q4" s="92"/>
      <c r="R4" s="92"/>
    </row>
    <row r="5" spans="2:19" ht="15.75" customHeight="1" x14ac:dyDescent="0.2">
      <c r="B5" s="135"/>
      <c r="C5" s="135"/>
      <c r="D5" s="135"/>
      <c r="E5" s="135"/>
      <c r="F5" s="135"/>
      <c r="G5" s="135"/>
      <c r="H5" s="136" t="s">
        <v>112</v>
      </c>
      <c r="I5" s="136"/>
      <c r="J5" s="136"/>
      <c r="K5" s="136"/>
      <c r="L5" s="136"/>
      <c r="M5" s="136"/>
      <c r="N5" s="136"/>
      <c r="O5" s="93"/>
      <c r="P5" s="93"/>
      <c r="Q5" s="93"/>
      <c r="R5" s="93"/>
    </row>
    <row r="6" spans="2:19" ht="16.5" customHeight="1" x14ac:dyDescent="0.2">
      <c r="B6" s="137"/>
      <c r="C6" s="137"/>
      <c r="D6" s="137"/>
      <c r="E6" s="137"/>
      <c r="F6" s="137"/>
      <c r="G6" s="137"/>
      <c r="H6" s="138" t="s">
        <v>113</v>
      </c>
      <c r="I6" s="138"/>
      <c r="J6" s="138"/>
      <c r="K6" s="138"/>
      <c r="L6" s="138"/>
      <c r="M6" s="138"/>
      <c r="N6" s="138"/>
      <c r="O6" s="93"/>
      <c r="P6" s="93"/>
      <c r="Q6" s="93"/>
      <c r="R6" s="93"/>
    </row>
    <row r="8" spans="2:19" ht="12.75" customHeight="1" x14ac:dyDescent="0.2">
      <c r="B8" s="139" t="s">
        <v>114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2:19" x14ac:dyDescent="0.2"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</row>
    <row r="10" spans="2:19" ht="12.75" customHeight="1" x14ac:dyDescent="0.2">
      <c r="B10" s="140" t="s">
        <v>115</v>
      </c>
      <c r="C10" s="140"/>
      <c r="D10" s="140"/>
      <c r="E10" s="140"/>
      <c r="F10" s="141" t="s">
        <v>116</v>
      </c>
      <c r="G10" s="141"/>
      <c r="H10" s="141"/>
      <c r="I10" s="142" t="s">
        <v>117</v>
      </c>
      <c r="J10" s="142"/>
      <c r="K10" s="142"/>
      <c r="L10" s="142"/>
      <c r="M10" s="142"/>
      <c r="N10" s="142"/>
      <c r="Q10" t="s">
        <v>118</v>
      </c>
    </row>
    <row r="11" spans="2:19" x14ac:dyDescent="0.2">
      <c r="B11" s="140"/>
      <c r="C11" s="140"/>
      <c r="D11" s="140"/>
      <c r="E11" s="140"/>
      <c r="F11" s="141"/>
      <c r="G11" s="141"/>
      <c r="H11" s="141"/>
      <c r="I11" s="143" t="str">
        <f>IF(F10=S16,S23,IF(F10=S17,S24,IF(F10=S18,S25,IF(F10=S19,S26,IF(F10=S20,S27,IF(F10=S21,S28,""))))))</f>
        <v>Para o tipo de obra “Construção de Redes de Abastecimento de Água, Coleta de Esgoto e Construções Correlatas” enquadram-se: a construção de sistemas para o abastecimento de água tratada: reservatórios de distribuição, estações elevatórias de bombeamento, linhas principais de adução de longa e média distância e redes de distribuição de água; a construção de redes de coleta de esgoto, inclusive de interceptores, estações de tratamento de esgoto (ETE), estações de bombeamento de esgoto (EBE); a construção de galerias pluviais (obras de micro e macro drenagem). Esta classe compreende também: as obras de irrigação (canais); a manutenção de redes de abastecimento de água tratada; a manutenção de redes de coleta e de sistemas de tratamento de esgoto, conforme classificação 4222-7 do CNAE 2.0. Enquadra-se ainda a construção de estações de tratamento de água (ETA).</v>
      </c>
      <c r="J11" s="143"/>
      <c r="K11" s="143"/>
      <c r="L11" s="143"/>
      <c r="M11" s="143"/>
      <c r="N11" s="143"/>
      <c r="Q11" t="s">
        <v>119</v>
      </c>
    </row>
    <row r="12" spans="2:19" ht="12.75" customHeight="1" x14ac:dyDescent="0.2">
      <c r="B12" s="140"/>
      <c r="C12" s="140"/>
      <c r="D12" s="140"/>
      <c r="E12" s="140"/>
      <c r="F12" s="141"/>
      <c r="G12" s="141"/>
      <c r="H12" s="141"/>
      <c r="I12" s="143"/>
      <c r="J12" s="143"/>
      <c r="K12" s="143"/>
      <c r="L12" s="143"/>
      <c r="M12" s="143"/>
      <c r="N12" s="143"/>
      <c r="Q12" s="1" t="s">
        <v>120</v>
      </c>
      <c r="S12" t="s">
        <v>121</v>
      </c>
    </row>
    <row r="13" spans="2:19" ht="12.75" customHeight="1" x14ac:dyDescent="0.2">
      <c r="B13" s="144" t="s">
        <v>122</v>
      </c>
      <c r="C13" s="144"/>
      <c r="D13" s="144"/>
      <c r="E13" s="144"/>
      <c r="F13" s="145" t="s">
        <v>120</v>
      </c>
      <c r="G13" s="145"/>
      <c r="H13" s="145"/>
      <c r="I13" s="143"/>
      <c r="J13" s="143"/>
      <c r="K13" s="143"/>
      <c r="L13" s="143"/>
      <c r="M13" s="143"/>
      <c r="N13" s="143"/>
      <c r="Q13" s="1"/>
      <c r="S13" t="s">
        <v>123</v>
      </c>
    </row>
    <row r="14" spans="2:19" x14ac:dyDescent="0.2">
      <c r="B14" s="144"/>
      <c r="C14" s="144"/>
      <c r="D14" s="144"/>
      <c r="E14" s="144"/>
      <c r="F14" s="145"/>
      <c r="G14" s="145"/>
      <c r="H14" s="145"/>
      <c r="I14" s="143"/>
      <c r="J14" s="143"/>
      <c r="K14" s="143"/>
      <c r="L14" s="143"/>
      <c r="M14" s="143"/>
      <c r="N14" s="143"/>
      <c r="Q14" s="1"/>
      <c r="S14" t="s">
        <v>123</v>
      </c>
    </row>
    <row r="15" spans="2:19" ht="12.75" customHeight="1" x14ac:dyDescent="0.2">
      <c r="B15" s="144"/>
      <c r="C15" s="144"/>
      <c r="D15" s="144"/>
      <c r="E15" s="144"/>
      <c r="F15" s="145"/>
      <c r="G15" s="145"/>
      <c r="H15" s="145"/>
      <c r="I15" s="143"/>
      <c r="J15" s="143"/>
      <c r="K15" s="143"/>
      <c r="L15" s="143"/>
      <c r="M15" s="143"/>
      <c r="N15" s="143"/>
      <c r="Q15" s="1"/>
      <c r="S15" t="s">
        <v>121</v>
      </c>
    </row>
    <row r="16" spans="2:19" x14ac:dyDescent="0.2">
      <c r="B16" s="144"/>
      <c r="C16" s="144"/>
      <c r="D16" s="144"/>
      <c r="E16" s="144"/>
      <c r="F16" s="145"/>
      <c r="G16" s="145"/>
      <c r="H16" s="145"/>
      <c r="I16" s="143"/>
      <c r="J16" s="143"/>
      <c r="K16" s="143"/>
      <c r="L16" s="143"/>
      <c r="M16" s="143"/>
      <c r="N16" s="143"/>
      <c r="Q16" s="1"/>
      <c r="S16" t="s">
        <v>123</v>
      </c>
    </row>
    <row r="17" spans="2:30" ht="12.75" customHeight="1" x14ac:dyDescent="0.2">
      <c r="B17" s="139" t="str">
        <f>IF(F17="OK","BDI ABAIXO PODE SER ACEITO","")</f>
        <v>BDI ABAIXO PODE SER ACEITO</v>
      </c>
      <c r="C17" s="139"/>
      <c r="D17" s="139"/>
      <c r="E17" s="139"/>
      <c r="F17" s="146" t="str">
        <f>IF(AD32=FALSE(),"",IF(G33="FORA DO LIMITE","VERIFICAR ITENS",IF(G35="FORA DO LIMITE","VERIFICAR ITENS",IF(G37="FORA DO LIMITE","VERIFICAR ITENS",IF(G39="FORA DO LIMITE","VERIFICAR ITENS",IF(G41="FORA DO LIMITE","VERIFICAR ITENS",IF(Z31&lt;W31,"FORA DA FAIXA",IF(Z31&gt;X31,"FORA DA FAIXA","OK"))))))))</f>
        <v>OK</v>
      </c>
      <c r="G17" s="146"/>
      <c r="H17" s="146"/>
      <c r="I17" s="143"/>
      <c r="J17" s="143"/>
      <c r="K17" s="143"/>
      <c r="L17" s="143"/>
      <c r="M17" s="143"/>
      <c r="N17" s="143"/>
      <c r="Q17" s="1"/>
      <c r="S17" t="s">
        <v>124</v>
      </c>
    </row>
    <row r="18" spans="2:30" ht="13.5" customHeight="1" x14ac:dyDescent="0.2">
      <c r="B18" s="139"/>
      <c r="C18" s="139"/>
      <c r="D18" s="139"/>
      <c r="E18" s="139"/>
      <c r="F18" s="146"/>
      <c r="G18" s="146"/>
      <c r="H18" s="146"/>
      <c r="I18" s="143"/>
      <c r="J18" s="143"/>
      <c r="K18" s="143"/>
      <c r="L18" s="143"/>
      <c r="M18" s="143"/>
      <c r="N18" s="143"/>
      <c r="Q18" s="1"/>
      <c r="S18" t="s">
        <v>116</v>
      </c>
    </row>
    <row r="19" spans="2:30" x14ac:dyDescent="0.2">
      <c r="B19" s="139"/>
      <c r="C19" s="139"/>
      <c r="D19" s="139"/>
      <c r="E19" s="139"/>
      <c r="F19" s="146"/>
      <c r="G19" s="146"/>
      <c r="H19" s="146"/>
      <c r="I19" s="143"/>
      <c r="J19" s="143"/>
      <c r="K19" s="143"/>
      <c r="L19" s="143"/>
      <c r="M19" s="143"/>
      <c r="N19" s="143"/>
      <c r="Q19" s="1"/>
      <c r="S19" t="s">
        <v>125</v>
      </c>
    </row>
    <row r="20" spans="2:30" x14ac:dyDescent="0.2">
      <c r="B20" s="139"/>
      <c r="C20" s="139"/>
      <c r="D20" s="139"/>
      <c r="E20" s="139"/>
      <c r="F20" s="146"/>
      <c r="G20" s="146"/>
      <c r="H20" s="146"/>
      <c r="I20" s="143"/>
      <c r="J20" s="143"/>
      <c r="K20" s="143"/>
      <c r="L20" s="143"/>
      <c r="M20" s="143"/>
      <c r="N20" s="143"/>
      <c r="Q20" s="1"/>
      <c r="S20" t="s">
        <v>126</v>
      </c>
    </row>
    <row r="21" spans="2:30" x14ac:dyDescent="0.2">
      <c r="B21" s="139"/>
      <c r="C21" s="139"/>
      <c r="D21" s="139"/>
      <c r="E21" s="139"/>
      <c r="F21" s="146"/>
      <c r="G21" s="146"/>
      <c r="H21" s="146"/>
      <c r="I21" s="143"/>
      <c r="J21" s="143"/>
      <c r="K21" s="143"/>
      <c r="L21" s="143"/>
      <c r="M21" s="143"/>
      <c r="N21" s="143"/>
      <c r="Q21" s="1"/>
      <c r="S21" t="s">
        <v>127</v>
      </c>
      <c r="X21" t="s">
        <v>117</v>
      </c>
    </row>
    <row r="22" spans="2:30" x14ac:dyDescent="0.2">
      <c r="B22" s="139"/>
      <c r="C22" s="139"/>
      <c r="D22" s="139"/>
      <c r="E22" s="139"/>
      <c r="F22" s="146"/>
      <c r="G22" s="146"/>
      <c r="H22" s="146"/>
      <c r="I22" s="143"/>
      <c r="J22" s="143"/>
      <c r="K22" s="143"/>
      <c r="L22" s="143"/>
      <c r="M22" s="143"/>
      <c r="N22" s="143"/>
      <c r="Q22" s="1"/>
    </row>
    <row r="23" spans="2:30" ht="12.75" customHeight="1" x14ac:dyDescent="0.2">
      <c r="B23" s="147">
        <f>IF(Z32=FALSE(),IF(F10="Escolha o tipo de obra","Escolha o tipo de obra",IF(F13="ONERADO",Z31,IF(F13="DESONERADO",AB31,"Escolha o regime de contribuição"))),"PREENCHER TODOS OS COMPONENTES DO BDI")</f>
        <v>0.21890000000000001</v>
      </c>
      <c r="C23" s="147"/>
      <c r="D23" s="147"/>
      <c r="E23" s="147"/>
      <c r="F23" s="146"/>
      <c r="G23" s="146"/>
      <c r="H23" s="146"/>
      <c r="I23" s="143"/>
      <c r="J23" s="143"/>
      <c r="K23" s="143"/>
      <c r="L23" s="143"/>
      <c r="M23" s="143"/>
      <c r="N23" s="143"/>
      <c r="Q23" s="1"/>
      <c r="S23" t="s">
        <v>128</v>
      </c>
    </row>
    <row r="24" spans="2:30" ht="12.75" customHeight="1" x14ac:dyDescent="0.2">
      <c r="B24" s="147"/>
      <c r="C24" s="147"/>
      <c r="D24" s="147"/>
      <c r="E24" s="147"/>
      <c r="F24" s="146"/>
      <c r="G24" s="146"/>
      <c r="H24" s="146"/>
      <c r="I24" s="143"/>
      <c r="J24" s="143"/>
      <c r="K24" s="143"/>
      <c r="L24" s="143"/>
      <c r="M24" s="143"/>
      <c r="N24" s="143"/>
      <c r="Q24" s="1"/>
      <c r="S24" t="s">
        <v>129</v>
      </c>
    </row>
    <row r="25" spans="2:30" ht="12.75" customHeight="1" x14ac:dyDescent="0.2">
      <c r="B25" s="147"/>
      <c r="C25" s="147"/>
      <c r="D25" s="147"/>
      <c r="E25" s="147"/>
      <c r="F25" s="146"/>
      <c r="G25" s="146"/>
      <c r="H25" s="146"/>
      <c r="I25" s="143"/>
      <c r="J25" s="143"/>
      <c r="K25" s="143"/>
      <c r="L25" s="143"/>
      <c r="M25" s="143"/>
      <c r="N25" s="143"/>
      <c r="Q25" s="1"/>
      <c r="S25" t="s">
        <v>130</v>
      </c>
    </row>
    <row r="26" spans="2:30" ht="13.5" customHeight="1" x14ac:dyDescent="0.2">
      <c r="B26" s="147"/>
      <c r="C26" s="147"/>
      <c r="D26" s="147"/>
      <c r="E26" s="147"/>
      <c r="F26" s="146"/>
      <c r="G26" s="146"/>
      <c r="H26" s="146"/>
      <c r="I26" s="143"/>
      <c r="J26" s="143"/>
      <c r="K26" s="143"/>
      <c r="L26" s="143"/>
      <c r="M26" s="143"/>
      <c r="N26" s="143"/>
      <c r="Q26" s="1"/>
      <c r="S26" t="s">
        <v>131</v>
      </c>
    </row>
    <row r="27" spans="2:30" ht="12.75" customHeight="1" x14ac:dyDescent="0.2">
      <c r="B27" s="147"/>
      <c r="C27" s="147"/>
      <c r="D27" s="147"/>
      <c r="E27" s="147"/>
      <c r="F27" s="146"/>
      <c r="G27" s="146"/>
      <c r="H27" s="146"/>
      <c r="I27" s="143"/>
      <c r="J27" s="143"/>
      <c r="K27" s="143"/>
      <c r="L27" s="143"/>
      <c r="M27" s="143"/>
      <c r="N27" s="143"/>
      <c r="Q27" s="1"/>
      <c r="S27" t="s">
        <v>132</v>
      </c>
    </row>
    <row r="28" spans="2:30" ht="12.75" customHeight="1" x14ac:dyDescent="0.2">
      <c r="B28" s="147"/>
      <c r="C28" s="147"/>
      <c r="D28" s="147"/>
      <c r="E28" s="147"/>
      <c r="F28" s="146"/>
      <c r="G28" s="146"/>
      <c r="H28" s="146"/>
      <c r="I28" s="143"/>
      <c r="J28" s="143"/>
      <c r="K28" s="143"/>
      <c r="L28" s="143"/>
      <c r="M28" s="143"/>
      <c r="N28" s="143"/>
      <c r="Q28" s="1"/>
      <c r="S28" t="s">
        <v>133</v>
      </c>
    </row>
    <row r="29" spans="2:30" ht="13.5" customHeight="1" x14ac:dyDescent="0.2">
      <c r="B29" s="147"/>
      <c r="C29" s="147"/>
      <c r="D29" s="147"/>
      <c r="E29" s="147"/>
      <c r="F29" s="146"/>
      <c r="G29" s="146"/>
      <c r="H29" s="146"/>
      <c r="I29" s="143"/>
      <c r="J29" s="143"/>
      <c r="K29" s="143"/>
      <c r="L29" s="143"/>
      <c r="M29" s="143"/>
      <c r="N29" s="143"/>
      <c r="Q29" s="1"/>
    </row>
    <row r="30" spans="2:30" ht="13.5" customHeight="1" x14ac:dyDescent="0.2">
      <c r="B30" s="147"/>
      <c r="C30" s="147"/>
      <c r="D30" s="147"/>
      <c r="E30" s="147"/>
      <c r="F30" s="146"/>
      <c r="G30" s="146"/>
      <c r="H30" s="146"/>
      <c r="I30" s="148" t="s">
        <v>134</v>
      </c>
      <c r="J30" s="148"/>
      <c r="K30" s="148"/>
      <c r="L30" s="148"/>
      <c r="M30" s="148"/>
      <c r="N30" s="148"/>
      <c r="Q30" s="1"/>
      <c r="S30" t="s">
        <v>135</v>
      </c>
      <c r="W30" s="94" t="s">
        <v>136</v>
      </c>
      <c r="X30" s="94" t="s">
        <v>137</v>
      </c>
      <c r="Z30" s="94" t="s">
        <v>138</v>
      </c>
      <c r="AB30" s="94" t="s">
        <v>139</v>
      </c>
    </row>
    <row r="31" spans="2:30" ht="13.5" customHeight="1" x14ac:dyDescent="0.2">
      <c r="B31" s="147"/>
      <c r="C31" s="147"/>
      <c r="D31" s="147"/>
      <c r="E31" s="147"/>
      <c r="F31" s="146"/>
      <c r="G31" s="146"/>
      <c r="H31" s="146"/>
      <c r="I31" s="149" t="s">
        <v>140</v>
      </c>
      <c r="J31" s="149"/>
      <c r="K31" s="149"/>
      <c r="L31" s="149"/>
      <c r="M31" s="149"/>
      <c r="N31" s="149"/>
      <c r="Q31" s="1"/>
      <c r="S31" t="s">
        <v>141</v>
      </c>
      <c r="W31" s="6">
        <f>IF($F$10=$S$16,T33,IF($F$10=$S$17,X33,IF($F$10=$S$18,AB33,IF($F$10=$S$19,T39,IF($F$10=$S$20,X39,IF($F$10=$S$21,AB39))))))</f>
        <v>0.20760000000000001</v>
      </c>
      <c r="X31" s="6">
        <f>IF($F$10=$S$16,U33,IF($F$10=$S$17,Y33,IF($F$10=$S$18,AC33,IF($F$10=$S$19,U39,IF($F$10=$S$20,Y39,IF($F$10=$S$21,AC39))))))</f>
        <v>0.26440000000000002</v>
      </c>
      <c r="Y31" s="6" t="str">
        <f>IF(F13="DESONERADO",AB31,IF(F13="SEM DESONERAÇÃO",Z31,""))</f>
        <v/>
      </c>
      <c r="Z31" s="6">
        <f>TRUNC(ROUND(((1+F33+F35+F37)*(1+F39)*(1+F41))/(1-(F43+F44+F45))-1,4),4)</f>
        <v>0.21890000000000001</v>
      </c>
      <c r="AB31" s="6">
        <f>TRUNC(ROUND(((1+F33+F35+F37)*(1+F39)*(1+F41))/(1-(F43+F44+F45+F46))-1,4),4)</f>
        <v>0.21890000000000001</v>
      </c>
    </row>
    <row r="32" spans="2:30" ht="19.5" customHeight="1" x14ac:dyDescent="0.2">
      <c r="B32" s="150" t="s">
        <v>142</v>
      </c>
      <c r="C32" s="150"/>
      <c r="D32" s="150"/>
      <c r="E32" s="150"/>
      <c r="F32" s="95" t="s">
        <v>98</v>
      </c>
      <c r="G32" s="151" t="s">
        <v>143</v>
      </c>
      <c r="H32" s="151"/>
      <c r="I32" s="149"/>
      <c r="J32" s="149"/>
      <c r="K32" s="149"/>
      <c r="L32" s="149"/>
      <c r="M32" s="149"/>
      <c r="N32" s="149"/>
      <c r="Q32" s="1"/>
      <c r="S32" t="s">
        <v>144</v>
      </c>
      <c r="W32" t="s">
        <v>145</v>
      </c>
      <c r="Z32" t="b">
        <f>IF(F13="DESONERADO",OR(F33="",F35="",F37="",F39="",F41="",F43="",F44="",F45="",F46=""),OR(F33="",F35="",F37="",F39="",F41="",F43="",F44="",F45=""))</f>
        <v>0</v>
      </c>
      <c r="AA32" t="b">
        <f>IF(F13="SEM DESONERAÇÃO",AND(F33="",F35="",F37="",F39="",F41="",F43="",F44="",F45=""))</f>
        <v>0</v>
      </c>
      <c r="AC32" t="str">
        <f>IF(F13="SEM DESONERAÇÃO",AND(F33="",F35="",F37="",F39="",F41="",F43="",F44="",F45=""),IF(F13="DESONERADO",AND(F33="",F35="",F37="",F39="",F41="",F43="",F44="",F45="",F46=""),"NULO"))</f>
        <v>NULO</v>
      </c>
      <c r="AD32" t="b">
        <f>OR(B23=Z31,B23=AB31)</f>
        <v>1</v>
      </c>
    </row>
    <row r="33" spans="2:35" ht="19.5" customHeight="1" x14ac:dyDescent="0.2">
      <c r="B33" s="142" t="s">
        <v>146</v>
      </c>
      <c r="C33" s="142"/>
      <c r="D33" s="142"/>
      <c r="E33" s="142"/>
      <c r="F33" s="152">
        <v>3.5000000000000003E-2</v>
      </c>
      <c r="G33" s="153" t="str">
        <f>IF(F10="Escolha o tipo de obra","",IF(F33="","",IF(F33&lt;C34,"FORA DO LIMITE",IF(F33&gt;E34,"FORA DO LIMITE","OK"))))</f>
        <v>OK</v>
      </c>
      <c r="H33" s="153"/>
      <c r="I33" s="149"/>
      <c r="J33" s="149"/>
      <c r="K33" s="149"/>
      <c r="L33" s="149"/>
      <c r="M33" s="149"/>
      <c r="N33" s="149"/>
      <c r="S33" t="s">
        <v>147</v>
      </c>
      <c r="T33" s="6">
        <v>0.2034</v>
      </c>
      <c r="U33" s="6">
        <v>0.25</v>
      </c>
      <c r="W33" t="s">
        <v>148</v>
      </c>
      <c r="X33" s="6">
        <v>0.19600000000000001</v>
      </c>
      <c r="Y33" s="6">
        <v>0.24229999999999999</v>
      </c>
      <c r="AA33" t="s">
        <v>149</v>
      </c>
      <c r="AB33" s="6">
        <v>0.20760000000000001</v>
      </c>
      <c r="AC33" s="6">
        <v>0.26440000000000002</v>
      </c>
    </row>
    <row r="34" spans="2:35" ht="19.5" customHeight="1" x14ac:dyDescent="0.2">
      <c r="B34" s="96" t="s">
        <v>150</v>
      </c>
      <c r="C34" s="97">
        <f>IF($F$10=$S$16,S34,IF($F$10=$S$17,W34,IF($F$10=$S$18,AA34,IF($F$10=$S$19,S40,IF($F$10=$S$20,W40,IF($F$10=$S$21,AA40,""))))))</f>
        <v>3.4299999999999997E-2</v>
      </c>
      <c r="D34" s="98" t="s">
        <v>151</v>
      </c>
      <c r="E34" s="99">
        <f>IF($F$10=$S$16,T34,IF($F$10=$S$17,X34,IF($F$10=$S$18,AB34,IF($F$10=$S$19,T40,IF($F$10=$S$20,X40,IF($F$10=$S$21,AB40,""))))))</f>
        <v>6.7100000000000007E-2</v>
      </c>
      <c r="F34" s="152"/>
      <c r="G34" s="153"/>
      <c r="H34" s="153"/>
      <c r="I34" s="149"/>
      <c r="J34" s="149"/>
      <c r="K34" s="149"/>
      <c r="L34" s="149"/>
      <c r="M34" s="149"/>
      <c r="N34" s="149"/>
      <c r="Q34" t="str">
        <f>IF(H6="","",H6)</f>
        <v>BARÃO DE COTEGIPE / RS</v>
      </c>
      <c r="S34" s="6">
        <v>0.03</v>
      </c>
      <c r="T34" s="6">
        <v>5.5E-2</v>
      </c>
      <c r="W34" s="6">
        <v>3.7999999999999999E-2</v>
      </c>
      <c r="X34" s="6">
        <v>4.6699999999999998E-2</v>
      </c>
      <c r="AA34" s="6">
        <v>3.4299999999999997E-2</v>
      </c>
      <c r="AB34" s="6">
        <v>6.7100000000000007E-2</v>
      </c>
      <c r="AH34" s="6">
        <v>0.2034</v>
      </c>
      <c r="AI34" s="6">
        <v>0.25</v>
      </c>
    </row>
    <row r="35" spans="2:35" ht="19.5" customHeight="1" x14ac:dyDescent="0.2">
      <c r="B35" s="142" t="s">
        <v>152</v>
      </c>
      <c r="C35" s="142"/>
      <c r="D35" s="142"/>
      <c r="E35" s="142"/>
      <c r="F35" s="152">
        <v>3.0000000000000001E-3</v>
      </c>
      <c r="G35" s="153" t="str">
        <f>IF(F10="Escolha o tipo de obra","",IF(F35="","",IF(F35&lt;C36,"FORA DO LIMITE",IF(F35&gt;E36,"FORA DO LIMITE","OK"))))</f>
        <v>OK</v>
      </c>
      <c r="H35" s="153"/>
      <c r="I35" s="149"/>
      <c r="J35" s="149"/>
      <c r="K35" s="149"/>
      <c r="L35" s="149"/>
      <c r="M35" s="149"/>
      <c r="N35" s="149"/>
      <c r="Q35" s="100">
        <f ca="1">TODAY()</f>
        <v>45398</v>
      </c>
      <c r="S35" s="6">
        <v>8.0000000000000002E-3</v>
      </c>
      <c r="T35" s="6">
        <v>0.01</v>
      </c>
      <c r="W35" s="6">
        <v>3.2000000000000002E-3</v>
      </c>
      <c r="X35" s="6">
        <v>7.4000000000000003E-3</v>
      </c>
      <c r="AA35" s="6">
        <v>2.8E-3</v>
      </c>
      <c r="AB35" s="6">
        <v>7.4999999999999997E-3</v>
      </c>
      <c r="AH35" s="6">
        <v>0.19600000000000001</v>
      </c>
      <c r="AI35" s="6">
        <v>0.24229999999999999</v>
      </c>
    </row>
    <row r="36" spans="2:35" ht="19.5" customHeight="1" x14ac:dyDescent="0.2">
      <c r="B36" s="96" t="s">
        <v>150</v>
      </c>
      <c r="C36" s="97">
        <f>IF($F$10=$S$16,S35,IF($F$10=$S$17,W35,IF($F$10=$S$18,AA35,IF($F$10=$S$19,S41,IF($F$10=$S$20,W41,IF($F$10=$S$21,AA41,""))))))</f>
        <v>2.8E-3</v>
      </c>
      <c r="D36" s="98" t="s">
        <v>151</v>
      </c>
      <c r="E36" s="99">
        <f>IF($F$10=$S$16,T35,IF($F$10=$S$17,X35,IF($F$10=$S$18,AB35,IF($F$10=$S$19,T41,IF($F$10=$S$20,X41,IF($F$10=$S$21,AB41,""))))))</f>
        <v>7.4999999999999997E-3</v>
      </c>
      <c r="F36" s="152"/>
      <c r="G36" s="153"/>
      <c r="H36" s="153"/>
      <c r="I36" s="149"/>
      <c r="J36" s="149"/>
      <c r="K36" s="149"/>
      <c r="L36" s="149"/>
      <c r="M36" s="149"/>
      <c r="N36" s="149"/>
      <c r="S36" s="6">
        <v>9.7000000000000003E-3</v>
      </c>
      <c r="T36" s="6">
        <v>1.2699999999999999E-2</v>
      </c>
      <c r="W36" s="6">
        <v>5.0000000000000001E-3</v>
      </c>
      <c r="X36" s="6">
        <v>9.7000000000000003E-3</v>
      </c>
      <c r="AA36" s="6">
        <v>0.01</v>
      </c>
      <c r="AB36" s="6">
        <v>1.7399999999999999E-2</v>
      </c>
      <c r="AH36" s="6">
        <v>0.20760000000000001</v>
      </c>
      <c r="AI36" s="6">
        <v>0.26440000000000002</v>
      </c>
    </row>
    <row r="37" spans="2:35" ht="19.5" customHeight="1" x14ac:dyDescent="0.2">
      <c r="B37" s="142" t="s">
        <v>153</v>
      </c>
      <c r="C37" s="142"/>
      <c r="D37" s="142"/>
      <c r="E37" s="142"/>
      <c r="F37" s="152">
        <v>0.01</v>
      </c>
      <c r="G37" s="153" t="str">
        <f>IF(F10="Escolha o tipo de obra","",IF(F37="","",IF(F37&lt;C38,"FORA DO LIMITE",IF(F37&gt;E38,"FORA DO LIMITE","OK"))))</f>
        <v>OK</v>
      </c>
      <c r="H37" s="153"/>
      <c r="I37" s="154" t="s">
        <v>154</v>
      </c>
      <c r="J37" s="154"/>
      <c r="K37" s="154"/>
      <c r="L37" s="154"/>
      <c r="M37" s="154"/>
      <c r="N37" s="154"/>
      <c r="S37" s="6">
        <v>5.8999999999999999E-3</v>
      </c>
      <c r="T37" s="6">
        <v>1.3899999999999999E-2</v>
      </c>
      <c r="W37" s="6">
        <v>1.0200000000000001E-2</v>
      </c>
      <c r="X37" s="6">
        <v>1.21E-2</v>
      </c>
      <c r="AA37" s="6">
        <v>9.4000000000000004E-3</v>
      </c>
      <c r="AB37" s="6">
        <v>1.17E-2</v>
      </c>
      <c r="AH37" s="6">
        <v>0.24</v>
      </c>
      <c r="AI37" s="6">
        <v>0.27860000000000001</v>
      </c>
    </row>
    <row r="38" spans="2:35" ht="19.5" customHeight="1" x14ac:dyDescent="0.2">
      <c r="B38" s="96" t="s">
        <v>150</v>
      </c>
      <c r="C38" s="97">
        <f>IF($F$10=$S$16,S36,IF($F$10=$S$17,W36,IF($F$10=$S$18,AA36,IF($F$10=$S$19,S42,IF($F$10=$S$20,W42,IF($F$10=$S$21,AA42,""))))))</f>
        <v>0.01</v>
      </c>
      <c r="D38" s="98" t="s">
        <v>151</v>
      </c>
      <c r="E38" s="99">
        <f>IF($F$10=$S$16,T36,IF($F$10=$S$17,X36,IF($F$10=$S$18,AB36,IF($F$10=$S$19,T42,IF($F$10=$S$20,X42,IF($F$10=$S$21,AB42,""))))))</f>
        <v>1.7399999999999999E-2</v>
      </c>
      <c r="F38" s="152"/>
      <c r="G38" s="153"/>
      <c r="H38" s="153"/>
      <c r="I38" s="154"/>
      <c r="J38" s="154"/>
      <c r="K38" s="154"/>
      <c r="L38" s="154"/>
      <c r="M38" s="154"/>
      <c r="N38" s="154"/>
      <c r="S38" s="6">
        <v>6.1600000000000002E-2</v>
      </c>
      <c r="T38" s="6">
        <v>8.9599999999999999E-2</v>
      </c>
      <c r="W38" s="6">
        <v>6.6400000000000001E-2</v>
      </c>
      <c r="X38" s="6">
        <v>8.6900000000000005E-2</v>
      </c>
      <c r="AA38" s="6">
        <v>6.7400000000000002E-2</v>
      </c>
      <c r="AB38" s="6">
        <v>9.4E-2</v>
      </c>
      <c r="AH38" s="6">
        <v>0.22800000000000001</v>
      </c>
      <c r="AI38" s="6">
        <v>0.3095</v>
      </c>
    </row>
    <row r="39" spans="2:35" ht="19.5" customHeight="1" x14ac:dyDescent="0.2">
      <c r="B39" s="142" t="s">
        <v>155</v>
      </c>
      <c r="C39" s="142"/>
      <c r="D39" s="142"/>
      <c r="E39" s="142"/>
      <c r="F39" s="152">
        <v>0.01</v>
      </c>
      <c r="G39" s="153" t="str">
        <f>IF(F10="Escolha o tipo de obra","",IF(F39="","",IF(F39&lt;C40,"FORA DO LIMITE",IF(F39&gt;E40,"FORA DO LIMITE","OK"))))</f>
        <v>OK</v>
      </c>
      <c r="H39" s="153"/>
      <c r="I39" s="154"/>
      <c r="J39" s="154"/>
      <c r="K39" s="154"/>
      <c r="L39" s="154"/>
      <c r="M39" s="154"/>
      <c r="N39" s="154"/>
      <c r="S39" t="s">
        <v>156</v>
      </c>
      <c r="T39" s="6">
        <v>0.24</v>
      </c>
      <c r="U39" s="6">
        <v>0.27860000000000001</v>
      </c>
      <c r="W39" t="s">
        <v>157</v>
      </c>
      <c r="X39" s="6">
        <v>0.22800000000000001</v>
      </c>
      <c r="Y39" s="6">
        <v>0.3095</v>
      </c>
      <c r="AA39" t="s">
        <v>158</v>
      </c>
      <c r="AB39" s="6">
        <v>0.111</v>
      </c>
      <c r="AC39" s="6">
        <v>0.16800000000000001</v>
      </c>
      <c r="AH39" s="6">
        <v>0.111</v>
      </c>
      <c r="AI39" s="6">
        <v>0.16800000000000001</v>
      </c>
    </row>
    <row r="40" spans="2:35" ht="19.5" customHeight="1" x14ac:dyDescent="0.2">
      <c r="B40" s="96" t="s">
        <v>150</v>
      </c>
      <c r="C40" s="97">
        <f>IF($F$10=$S$16,S37,IF($F$10=$S$17,W37,IF($F$10=$S$18,AA37,IF($F$10=$S$19,S43,IF($F$10=$S$20,W43,IF($F$10=$S$21,AA43,""))))))</f>
        <v>9.4000000000000004E-3</v>
      </c>
      <c r="D40" s="98" t="s">
        <v>151</v>
      </c>
      <c r="E40" s="99">
        <f>IF($F$10=$S$16,T37,IF($F$10=$S$17,X37,IF($F$10=$S$18,AB37,IF($F$10=$S$19,T43,IF($F$10=$S$20,X43,IF($F$10=$S$21,AB43,""))))))</f>
        <v>1.17E-2</v>
      </c>
      <c r="F40" s="152"/>
      <c r="G40" s="153"/>
      <c r="H40" s="153"/>
      <c r="I40" s="154"/>
      <c r="J40" s="154"/>
      <c r="K40" s="154"/>
      <c r="L40" s="154"/>
      <c r="M40" s="154"/>
      <c r="N40" s="154"/>
      <c r="S40" s="6">
        <v>5.2900000000000003E-2</v>
      </c>
      <c r="T40" s="6">
        <v>7.9299999999999995E-2</v>
      </c>
      <c r="W40" s="6">
        <v>0.04</v>
      </c>
      <c r="X40" s="6">
        <v>7.85E-2</v>
      </c>
      <c r="AA40" s="6">
        <v>1.4999999999999999E-2</v>
      </c>
      <c r="AB40" s="6">
        <v>4.4900000000000002E-2</v>
      </c>
      <c r="AH40" s="6"/>
      <c r="AI40" s="6"/>
    </row>
    <row r="41" spans="2:35" ht="19.5" customHeight="1" x14ac:dyDescent="0.2">
      <c r="B41" s="142" t="s">
        <v>159</v>
      </c>
      <c r="C41" s="142"/>
      <c r="D41" s="142"/>
      <c r="E41" s="142"/>
      <c r="F41" s="152">
        <v>7.4999999999999997E-2</v>
      </c>
      <c r="G41" s="153" t="str">
        <f>IF(F10="Escolha o tipo de obra","",IF(F41="","",IF(F41&lt;C42,"FORA DO LIMITE",IF(F41&gt;E42,"FORA DO LIMITE","OK"))))</f>
        <v>OK</v>
      </c>
      <c r="H41" s="153"/>
      <c r="I41" s="149"/>
      <c r="J41" s="149"/>
      <c r="K41" s="149"/>
      <c r="L41" s="149"/>
      <c r="M41" s="149"/>
      <c r="N41" s="149"/>
      <c r="S41" s="6">
        <v>2.5000000000000001E-3</v>
      </c>
      <c r="T41" s="6">
        <v>5.5999999999999999E-3</v>
      </c>
      <c r="W41" s="6">
        <v>8.0999999999999996E-3</v>
      </c>
      <c r="X41" s="6">
        <v>1.9900000000000001E-2</v>
      </c>
      <c r="AA41" s="6">
        <v>3.0000000000000001E-3</v>
      </c>
      <c r="AB41" s="6">
        <v>8.2000000000000007E-3</v>
      </c>
      <c r="AH41" s="6"/>
      <c r="AI41" s="6"/>
    </row>
    <row r="42" spans="2:35" ht="19.5" customHeight="1" x14ac:dyDescent="0.2">
      <c r="B42" s="96" t="s">
        <v>150</v>
      </c>
      <c r="C42" s="97">
        <f>IF($F$10=$S$16,S38,IF($F$10=$S$17,W38,IF($F$10=$S$18,AA38,IF($F$10=$S$19,S44,IF($F$10=$S$20,W44,IF($F$10=$S$21,AA44,""))))))</f>
        <v>6.7400000000000002E-2</v>
      </c>
      <c r="D42" s="98" t="s">
        <v>151</v>
      </c>
      <c r="E42" s="99">
        <f>IF($F$10=$S$16,T38,IF($F$10=$S$17,X38,IF($F$10=$S$18,AB38,IF($F$10=$S$19,T44,IF($F$10=$S$20,X44,IF($F$10=$S$21,AB44,""))))))</f>
        <v>9.4E-2</v>
      </c>
      <c r="F42" s="152"/>
      <c r="G42" s="153"/>
      <c r="H42" s="153"/>
      <c r="I42" s="149"/>
      <c r="J42" s="149"/>
      <c r="K42" s="149"/>
      <c r="L42" s="149"/>
      <c r="M42" s="149"/>
      <c r="N42" s="149"/>
      <c r="S42" s="6">
        <v>0.01</v>
      </c>
      <c r="T42" s="6">
        <v>1.9699999999999999E-2</v>
      </c>
      <c r="W42" s="6">
        <v>1.46E-2</v>
      </c>
      <c r="X42" s="6">
        <v>3.1600000000000003E-2</v>
      </c>
      <c r="AA42" s="6">
        <v>5.5999999999999999E-3</v>
      </c>
      <c r="AB42" s="6">
        <v>8.8999999999999999E-3</v>
      </c>
      <c r="AH42" s="6"/>
      <c r="AI42" s="6"/>
    </row>
    <row r="43" spans="2:35" ht="19.5" customHeight="1" x14ac:dyDescent="0.2">
      <c r="B43" s="139" t="s">
        <v>160</v>
      </c>
      <c r="C43" s="139"/>
      <c r="D43" s="139"/>
      <c r="E43" s="139"/>
      <c r="F43" s="101">
        <v>6.4999999999999997E-3</v>
      </c>
      <c r="G43" s="157" t="str">
        <f>IF(F10="Escolha o tipo de obra","",IF(F43="","",IF(F43&lt;&gt;0.0065,"Em geral deve ser 0,65%","OK")))</f>
        <v>OK</v>
      </c>
      <c r="H43" s="157"/>
      <c r="I43" s="149"/>
      <c r="J43" s="149"/>
      <c r="K43" s="149"/>
      <c r="L43" s="149"/>
      <c r="M43" s="149"/>
      <c r="N43" s="149"/>
      <c r="S43" s="6">
        <v>1.01E-2</v>
      </c>
      <c r="T43" s="6">
        <v>1.11E-2</v>
      </c>
      <c r="W43" s="6">
        <v>9.4000000000000004E-3</v>
      </c>
      <c r="X43" s="6">
        <v>1.3299999999999999E-2</v>
      </c>
      <c r="AA43" s="6">
        <v>8.5000000000000006E-3</v>
      </c>
      <c r="AB43" s="6">
        <v>1.11E-2</v>
      </c>
      <c r="AH43" s="6"/>
      <c r="AI43" s="6"/>
    </row>
    <row r="44" spans="2:35" ht="19.5" customHeight="1" x14ac:dyDescent="0.2">
      <c r="B44" s="139" t="s">
        <v>161</v>
      </c>
      <c r="C44" s="139"/>
      <c r="D44" s="139"/>
      <c r="E44" s="139"/>
      <c r="F44" s="101">
        <v>0.03</v>
      </c>
      <c r="G44" s="153" t="str">
        <f>IF(F10="Escolha o tipo de obra","",IF(F44="","",IF(F44&lt;&gt;0.03,"Em geral deve ser 3,00%","OK")))</f>
        <v>OK</v>
      </c>
      <c r="H44" s="153"/>
      <c r="I44" s="149"/>
      <c r="J44" s="149"/>
      <c r="K44" s="149"/>
      <c r="L44" s="149"/>
      <c r="M44" s="149"/>
      <c r="N44" s="149"/>
      <c r="S44" s="6">
        <v>0.08</v>
      </c>
      <c r="T44" s="6">
        <v>9.5100000000000004E-2</v>
      </c>
      <c r="W44" s="6">
        <v>7.1400000000000005E-2</v>
      </c>
      <c r="X44" s="6">
        <v>0.1043</v>
      </c>
      <c r="AA44" s="6">
        <v>3.5000000000000003E-2</v>
      </c>
      <c r="AB44" s="6">
        <v>6.2199999999999998E-2</v>
      </c>
      <c r="AH44" s="6"/>
      <c r="AI44" s="6"/>
    </row>
    <row r="45" spans="2:35" ht="19.5" customHeight="1" x14ac:dyDescent="0.2">
      <c r="B45" s="139" t="s">
        <v>162</v>
      </c>
      <c r="C45" s="139"/>
      <c r="D45" s="139"/>
      <c r="E45" s="139"/>
      <c r="F45" s="102">
        <v>0.03</v>
      </c>
      <c r="G45" s="153" t="str">
        <f>IF(F10="Escolha o tipo de obra","",IF(F45="","",IF(F45&gt;0.05,"FORA DO LIMITE","OK")))</f>
        <v>OK</v>
      </c>
      <c r="H45" s="153"/>
      <c r="I45" s="149"/>
      <c r="J45" s="149"/>
      <c r="K45" s="149"/>
      <c r="L45" s="149"/>
      <c r="M45" s="149"/>
      <c r="N45" s="149"/>
    </row>
    <row r="46" spans="2:35" ht="19.5" customHeight="1" x14ac:dyDescent="0.2">
      <c r="B46" s="139" t="s">
        <v>163</v>
      </c>
      <c r="C46" s="139"/>
      <c r="D46" s="139"/>
      <c r="E46" s="139"/>
      <c r="F46" s="103"/>
      <c r="G46" s="153" t="str">
        <f>IF(F11="Escolha o tipo de obra","",IF(F46="","",IF(F46&gt;0.05,"FORA DO LIMITE","OK")))</f>
        <v/>
      </c>
      <c r="H46" s="153"/>
      <c r="I46" s="149"/>
      <c r="J46" s="149"/>
      <c r="K46" s="149"/>
      <c r="L46" s="149"/>
      <c r="M46" s="149"/>
      <c r="N46" s="149"/>
    </row>
    <row r="47" spans="2:35" x14ac:dyDescent="0.2">
      <c r="B47" s="104"/>
      <c r="C47" s="104"/>
      <c r="D47" s="104"/>
      <c r="E47" s="104"/>
      <c r="F47" s="105"/>
      <c r="G47" s="106"/>
      <c r="H47" s="106"/>
      <c r="I47" s="106"/>
      <c r="J47" s="106"/>
      <c r="K47" s="106"/>
      <c r="L47" s="106"/>
      <c r="M47" s="106"/>
      <c r="N47" s="106"/>
    </row>
    <row r="48" spans="2:35" ht="50.25" customHeight="1" x14ac:dyDescent="0.2">
      <c r="B48" s="104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</row>
    <row r="49" spans="2:14" ht="34.5" customHeight="1" x14ac:dyDescent="0.2">
      <c r="B49" s="104"/>
      <c r="C49" s="104"/>
      <c r="D49" s="104"/>
      <c r="E49" s="104"/>
      <c r="F49" s="105"/>
      <c r="G49" s="106"/>
      <c r="H49" s="106"/>
      <c r="I49" s="106"/>
      <c r="J49" s="106"/>
      <c r="K49" s="106"/>
      <c r="L49" s="106"/>
      <c r="M49" s="106"/>
      <c r="N49" s="106"/>
    </row>
    <row r="50" spans="2:14" ht="13.5" customHeight="1" x14ac:dyDescent="0.2">
      <c r="B50" s="156" t="s">
        <v>164</v>
      </c>
      <c r="C50" s="156"/>
      <c r="D50" s="156"/>
      <c r="E50" s="156"/>
      <c r="F50" s="156"/>
      <c r="G50" s="156"/>
      <c r="H50" s="156"/>
      <c r="I50" s="106"/>
      <c r="J50" s="106"/>
      <c r="K50" s="106"/>
      <c r="L50" s="106"/>
      <c r="M50" s="106"/>
      <c r="N50" s="106"/>
    </row>
    <row r="56" spans="2:14" ht="12.75" customHeight="1" x14ac:dyDescent="0.2"/>
    <row r="59" spans="2:14" ht="1.5" customHeight="1" x14ac:dyDescent="0.2"/>
  </sheetData>
  <mergeCells count="48">
    <mergeCell ref="C48:N48"/>
    <mergeCell ref="B50:H50"/>
    <mergeCell ref="B41:E41"/>
    <mergeCell ref="F41:F42"/>
    <mergeCell ref="G41:H42"/>
    <mergeCell ref="I41:N46"/>
    <mergeCell ref="B43:E43"/>
    <mergeCell ref="G43:H43"/>
    <mergeCell ref="B44:E44"/>
    <mergeCell ref="G44:H44"/>
    <mergeCell ref="B45:E45"/>
    <mergeCell ref="G45:H45"/>
    <mergeCell ref="B46:E46"/>
    <mergeCell ref="G46:H46"/>
    <mergeCell ref="B37:E37"/>
    <mergeCell ref="F37:F38"/>
    <mergeCell ref="G37:H38"/>
    <mergeCell ref="I37:N40"/>
    <mergeCell ref="B39:E39"/>
    <mergeCell ref="F39:F40"/>
    <mergeCell ref="G39:H40"/>
    <mergeCell ref="B33:E33"/>
    <mergeCell ref="F33:F34"/>
    <mergeCell ref="G33:H34"/>
    <mergeCell ref="B35:E35"/>
    <mergeCell ref="F35:F36"/>
    <mergeCell ref="G35:H36"/>
    <mergeCell ref="B6:G6"/>
    <mergeCell ref="H6:N6"/>
    <mergeCell ref="B8:N9"/>
    <mergeCell ref="B10:E12"/>
    <mergeCell ref="F10:H12"/>
    <mergeCell ref="I10:N10"/>
    <mergeCell ref="I11:N29"/>
    <mergeCell ref="B13:E16"/>
    <mergeCell ref="F13:H16"/>
    <mergeCell ref="B17:E22"/>
    <mergeCell ref="F17:H31"/>
    <mergeCell ref="B23:E31"/>
    <mergeCell ref="I30:N30"/>
    <mergeCell ref="I31:N36"/>
    <mergeCell ref="B32:E32"/>
    <mergeCell ref="G32:H32"/>
    <mergeCell ref="C2:N2"/>
    <mergeCell ref="B4:G4"/>
    <mergeCell ref="H4:N4"/>
    <mergeCell ref="B5:G5"/>
    <mergeCell ref="H5:N5"/>
  </mergeCells>
  <conditionalFormatting sqref="F17">
    <cfRule type="cellIs" dxfId="17" priority="2" operator="equal">
      <formula>"OK"</formula>
    </cfRule>
    <cfRule type="cellIs" dxfId="16" priority="3" operator="equal">
      <formula>"FORA DA FAIXA"</formula>
    </cfRule>
    <cfRule type="cellIs" dxfId="15" priority="4" operator="equal">
      <formula>"VERIFICAR ITENS"</formula>
    </cfRule>
  </conditionalFormatting>
  <conditionalFormatting sqref="G33:G45">
    <cfRule type="cellIs" dxfId="14" priority="5" operator="equal">
      <formula>"OK"</formula>
    </cfRule>
    <cfRule type="cellIs" dxfId="13" priority="6" operator="equal">
      <formula>"FORA DO LIMITE"</formula>
    </cfRule>
  </conditionalFormatting>
  <conditionalFormatting sqref="G47:H50">
    <cfRule type="cellIs" dxfId="12" priority="7" operator="equal">
      <formula>"OK"</formula>
    </cfRule>
    <cfRule type="cellIs" dxfId="11" priority="8" operator="equal">
      <formula>"FORA DO LIMITE"</formula>
    </cfRule>
    <cfRule type="cellIs" dxfId="10" priority="9" operator="equal">
      <formula>"Deixar em branco o campo ao lado"</formula>
    </cfRule>
  </conditionalFormatting>
  <conditionalFormatting sqref="G46">
    <cfRule type="cellIs" dxfId="9" priority="10" operator="equal">
      <formula>"OK"</formula>
    </cfRule>
    <cfRule type="cellIs" dxfId="8" priority="11" operator="equal">
      <formula>"FORA DO LIMITE"</formula>
    </cfRule>
  </conditionalFormatting>
  <dataValidations count="3">
    <dataValidation type="list" allowBlank="1" showErrorMessage="1" sqref="F10:H11" xr:uid="{00000000-0002-0000-0400-000000000000}">
      <formula1>$S$15:$S$21</formula1>
      <formula2>0</formula2>
    </dataValidation>
    <dataValidation type="list" allowBlank="1" showErrorMessage="1" sqref="F13:H16" xr:uid="{00000000-0002-0000-0400-000001000000}">
      <formula1>$Q$10:$Q$12</formula1>
      <formula2>0</formula2>
    </dataValidation>
    <dataValidation operator="equal" allowBlank="1" showErrorMessage="1" errorTitle="Atenção" error="Alíquota de recolhimento da contribuição previdenciária deve ser de 2%." sqref="F46:F50" xr:uid="{00000000-0002-0000-0400-000002000000}">
      <formula1>0</formula1>
      <formula2>0</formula2>
    </dataValidation>
  </dataValidations>
  <pageMargins left="0.78749999999999998" right="0.78749999999999998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"/>
  <sheetViews>
    <sheetView topLeftCell="A7" workbookViewId="0">
      <selection activeCell="M19" sqref="M19"/>
    </sheetView>
  </sheetViews>
  <sheetFormatPr defaultColWidth="8" defaultRowHeight="14.25" x14ac:dyDescent="0.2"/>
  <cols>
    <col min="1" max="1" width="9.625" style="119" customWidth="1"/>
    <col min="2" max="2" width="10.875" style="119" customWidth="1"/>
    <col min="3" max="3" width="12.125" style="119" customWidth="1"/>
    <col min="4" max="4" width="9.625" style="119" customWidth="1"/>
    <col min="5" max="5" width="6.375" style="119" bestFit="1" customWidth="1"/>
    <col min="6" max="6" width="10.625" style="119" customWidth="1"/>
    <col min="7" max="7" width="8.625" style="119" customWidth="1"/>
    <col min="8" max="8" width="7.875" style="119" customWidth="1"/>
    <col min="9" max="9" width="12" style="119" customWidth="1"/>
    <col min="10" max="11" width="8" style="107"/>
  </cols>
  <sheetData>
    <row r="1" spans="1:9" x14ac:dyDescent="0.2">
      <c r="A1" s="173"/>
      <c r="B1" s="173"/>
      <c r="C1" s="173"/>
      <c r="D1" s="173"/>
      <c r="E1" s="173"/>
      <c r="F1" s="173"/>
      <c r="G1" s="173"/>
      <c r="H1" s="173"/>
      <c r="I1" s="173"/>
    </row>
    <row r="2" spans="1:9" ht="31.5" customHeight="1" x14ac:dyDescent="0.2">
      <c r="A2" s="174" t="s">
        <v>165</v>
      </c>
      <c r="B2" s="174"/>
      <c r="C2" s="174"/>
      <c r="D2" s="174"/>
      <c r="E2" s="174"/>
      <c r="F2" s="174"/>
      <c r="G2" s="174"/>
      <c r="H2" s="174"/>
      <c r="I2" s="174"/>
    </row>
    <row r="3" spans="1:9" x14ac:dyDescent="0.2">
      <c r="A3" s="108"/>
      <c r="B3" s="108"/>
      <c r="C3" s="108"/>
      <c r="D3" s="108"/>
      <c r="E3" s="108"/>
      <c r="F3" s="108"/>
      <c r="G3" s="108"/>
      <c r="H3" s="108"/>
      <c r="I3" s="108"/>
    </row>
    <row r="4" spans="1:9" x14ac:dyDescent="0.2">
      <c r="A4" s="175" t="s">
        <v>166</v>
      </c>
      <c r="B4" s="175"/>
      <c r="C4" s="175"/>
      <c r="D4" s="175"/>
      <c r="E4" s="175"/>
      <c r="F4" s="175"/>
      <c r="G4" s="175"/>
      <c r="H4" s="176" t="s">
        <v>167</v>
      </c>
      <c r="I4" s="176"/>
    </row>
    <row r="5" spans="1:9" x14ac:dyDescent="0.2">
      <c r="A5" s="177" t="s">
        <v>168</v>
      </c>
      <c r="B5" s="177"/>
      <c r="C5" s="177"/>
      <c r="D5" s="177"/>
      <c r="E5" s="177"/>
      <c r="F5" s="177"/>
      <c r="G5" s="177"/>
      <c r="H5" s="178" t="s">
        <v>169</v>
      </c>
      <c r="I5" s="178"/>
    </row>
    <row r="6" spans="1:9" s="107" customFormat="1" ht="12" x14ac:dyDescent="0.2">
      <c r="A6" s="110"/>
      <c r="B6" s="110"/>
      <c r="C6" s="110"/>
      <c r="D6" s="110"/>
      <c r="E6" s="110"/>
      <c r="F6" s="110"/>
      <c r="G6" s="110"/>
      <c r="H6" s="110"/>
      <c r="I6" s="110"/>
    </row>
    <row r="7" spans="1:9" s="107" customFormat="1" ht="12" x14ac:dyDescent="0.2">
      <c r="A7" s="171" t="s">
        <v>170</v>
      </c>
      <c r="B7" s="171"/>
      <c r="C7" s="171"/>
      <c r="D7" s="171"/>
      <c r="E7" s="171" t="s">
        <v>171</v>
      </c>
      <c r="F7" s="172" t="s">
        <v>172</v>
      </c>
      <c r="G7" s="171" t="s">
        <v>173</v>
      </c>
      <c r="H7" s="171" t="s">
        <v>174</v>
      </c>
      <c r="I7" s="171" t="s">
        <v>175</v>
      </c>
    </row>
    <row r="8" spans="1:9" s="107" customFormat="1" ht="12" x14ac:dyDescent="0.2">
      <c r="A8" s="171"/>
      <c r="B8" s="171"/>
      <c r="C8" s="171"/>
      <c r="D8" s="171"/>
      <c r="E8" s="171"/>
      <c r="F8" s="172"/>
      <c r="G8" s="171"/>
      <c r="H8" s="171"/>
      <c r="I8" s="171"/>
    </row>
    <row r="9" spans="1:9" s="107" customFormat="1" ht="12" x14ac:dyDescent="0.2">
      <c r="A9" s="166" t="s">
        <v>146</v>
      </c>
      <c r="B9" s="166"/>
      <c r="C9" s="166"/>
      <c r="D9" s="166"/>
      <c r="E9" s="111" t="s">
        <v>176</v>
      </c>
      <c r="F9" s="112">
        <v>3.4500000000000003E-2</v>
      </c>
      <c r="G9" s="113">
        <v>3.7999999999999999E-2</v>
      </c>
      <c r="H9" s="113">
        <v>4.0099999999999997E-2</v>
      </c>
      <c r="I9" s="113">
        <v>4.6699999999999998E-2</v>
      </c>
    </row>
    <row r="10" spans="1:9" s="107" customFormat="1" ht="12" x14ac:dyDescent="0.2">
      <c r="A10" s="166" t="s">
        <v>177</v>
      </c>
      <c r="B10" s="166"/>
      <c r="C10" s="166"/>
      <c r="D10" s="166"/>
      <c r="E10" s="111" t="s">
        <v>178</v>
      </c>
      <c r="F10" s="112">
        <v>4.7999999999999996E-3</v>
      </c>
      <c r="G10" s="113">
        <v>3.2000000000000002E-3</v>
      </c>
      <c r="H10" s="113">
        <v>4.0000000000000001E-3</v>
      </c>
      <c r="I10" s="113">
        <v>7.4000000000000003E-3</v>
      </c>
    </row>
    <row r="11" spans="1:9" s="107" customFormat="1" ht="12" x14ac:dyDescent="0.2">
      <c r="A11" s="166" t="s">
        <v>179</v>
      </c>
      <c r="B11" s="166"/>
      <c r="C11" s="166"/>
      <c r="D11" s="166"/>
      <c r="E11" s="111" t="s">
        <v>180</v>
      </c>
      <c r="F11" s="112">
        <v>1.6E-2</v>
      </c>
      <c r="G11" s="113">
        <v>5.0000000000000001E-3</v>
      </c>
      <c r="H11" s="113">
        <v>5.6000000000000008E-3</v>
      </c>
      <c r="I11" s="113">
        <v>9.7000000000000003E-3</v>
      </c>
    </row>
    <row r="12" spans="1:9" x14ac:dyDescent="0.2">
      <c r="A12" s="166" t="s">
        <v>155</v>
      </c>
      <c r="B12" s="166"/>
      <c r="C12" s="166"/>
      <c r="D12" s="166"/>
      <c r="E12" s="111" t="s">
        <v>181</v>
      </c>
      <c r="F12" s="112">
        <v>0.01</v>
      </c>
      <c r="G12" s="113">
        <v>1.0200000000000001E-2</v>
      </c>
      <c r="H12" s="113">
        <v>1.11E-2</v>
      </c>
      <c r="I12" s="113">
        <v>1.21E-2</v>
      </c>
    </row>
    <row r="13" spans="1:9" x14ac:dyDescent="0.2">
      <c r="A13" s="166" t="s">
        <v>159</v>
      </c>
      <c r="B13" s="166"/>
      <c r="C13" s="166"/>
      <c r="D13" s="166"/>
      <c r="E13" s="111" t="s">
        <v>182</v>
      </c>
      <c r="F13" s="112">
        <v>3.9600000000000003E-2</v>
      </c>
      <c r="G13" s="113">
        <v>6.6400000000000001E-2</v>
      </c>
      <c r="H13" s="113">
        <v>7.2999999999999995E-2</v>
      </c>
      <c r="I13" s="113">
        <v>8.6899999999999991E-2</v>
      </c>
    </row>
    <row r="14" spans="1:9" x14ac:dyDescent="0.2">
      <c r="A14" s="170" t="s">
        <v>183</v>
      </c>
      <c r="B14" s="170"/>
      <c r="C14" s="170"/>
      <c r="D14" s="170"/>
      <c r="E14" s="111" t="s">
        <v>184</v>
      </c>
      <c r="F14" s="112">
        <v>3.6499999999999998E-2</v>
      </c>
      <c r="G14" s="113">
        <v>3.6499999999999998E-2</v>
      </c>
      <c r="H14" s="113">
        <v>3.6499999999999998E-2</v>
      </c>
      <c r="I14" s="113">
        <v>3.6499999999999998E-2</v>
      </c>
    </row>
    <row r="15" spans="1:9" x14ac:dyDescent="0.2">
      <c r="A15" s="166" t="s">
        <v>185</v>
      </c>
      <c r="B15" s="166"/>
      <c r="C15" s="166"/>
      <c r="D15" s="166"/>
      <c r="E15" s="111" t="s">
        <v>186</v>
      </c>
      <c r="F15" s="113">
        <v>0</v>
      </c>
      <c r="G15" s="113">
        <v>0</v>
      </c>
      <c r="H15" s="113">
        <v>2.5000000000000001E-2</v>
      </c>
      <c r="I15" s="113">
        <v>0.05</v>
      </c>
    </row>
    <row r="16" spans="1:9" x14ac:dyDescent="0.2">
      <c r="A16" s="166" t="s">
        <v>187</v>
      </c>
      <c r="B16" s="166"/>
      <c r="C16" s="166"/>
      <c r="D16" s="166"/>
      <c r="E16" s="111" t="s">
        <v>188</v>
      </c>
      <c r="F16" s="113">
        <v>0</v>
      </c>
      <c r="G16" s="114">
        <v>0</v>
      </c>
      <c r="H16" s="114">
        <v>4.4999999999999998E-2</v>
      </c>
      <c r="I16" s="114">
        <v>4.4999999999999998E-2</v>
      </c>
    </row>
    <row r="17" spans="1:11" x14ac:dyDescent="0.2">
      <c r="A17" s="166" t="s">
        <v>189</v>
      </c>
      <c r="B17" s="166"/>
      <c r="C17" s="166"/>
      <c r="D17" s="166"/>
      <c r="E17" s="109" t="s">
        <v>190</v>
      </c>
      <c r="F17" s="113">
        <f>ROUND((((1+F9+F10+F11)*(1+F12)*(1+F13)/(1-(F14+F15)))-1),4)</f>
        <v>0.15</v>
      </c>
      <c r="G17" s="113">
        <v>0.19600000000000001</v>
      </c>
      <c r="H17" s="113">
        <v>0.2097</v>
      </c>
      <c r="I17" s="113">
        <v>0.24230000000000002</v>
      </c>
    </row>
    <row r="18" spans="1:11" x14ac:dyDescent="0.2">
      <c r="A18" s="167"/>
      <c r="B18" s="167"/>
      <c r="C18" s="167"/>
      <c r="D18" s="167"/>
      <c r="E18" s="115"/>
      <c r="F18" s="116"/>
      <c r="G18" s="168"/>
      <c r="H18" s="168"/>
      <c r="I18" s="168"/>
    </row>
    <row r="19" spans="1:11" x14ac:dyDescent="0.2">
      <c r="A19" s="169" t="s">
        <v>191</v>
      </c>
      <c r="B19" s="169"/>
      <c r="C19" s="169"/>
      <c r="D19" s="169"/>
      <c r="E19" s="169"/>
      <c r="F19" s="169"/>
      <c r="G19" s="169"/>
      <c r="H19" s="169"/>
      <c r="I19" s="169"/>
    </row>
    <row r="20" spans="1:11" x14ac:dyDescent="0.2">
      <c r="A20" s="117"/>
      <c r="B20" s="117"/>
      <c r="C20" s="117"/>
      <c r="D20" s="117"/>
      <c r="E20" s="117"/>
      <c r="F20" s="117"/>
      <c r="G20" s="117"/>
      <c r="H20" s="117"/>
      <c r="I20" s="117"/>
    </row>
    <row r="21" spans="1:11" x14ac:dyDescent="0.2">
      <c r="A21" s="118"/>
      <c r="B21" s="118"/>
      <c r="C21" s="158" t="s">
        <v>192</v>
      </c>
      <c r="D21" s="159" t="s">
        <v>193</v>
      </c>
      <c r="E21" s="159"/>
      <c r="F21" s="159"/>
      <c r="G21" s="160"/>
      <c r="I21" s="118"/>
    </row>
    <row r="22" spans="1:11" x14ac:dyDescent="0.2">
      <c r="A22" s="118"/>
      <c r="B22" s="118"/>
      <c r="C22" s="158"/>
      <c r="D22" s="162" t="s">
        <v>194</v>
      </c>
      <c r="E22" s="162"/>
      <c r="F22" s="162"/>
      <c r="G22" s="161"/>
      <c r="I22" s="118"/>
    </row>
    <row r="23" spans="1:11" x14ac:dyDescent="0.2">
      <c r="A23" s="120"/>
      <c r="B23" s="120"/>
      <c r="C23" s="120"/>
      <c r="D23" s="120"/>
      <c r="E23" s="120"/>
      <c r="F23" s="120"/>
      <c r="G23" s="120"/>
      <c r="H23" s="120"/>
      <c r="I23" s="120"/>
    </row>
    <row r="24" spans="1:11" ht="35.25" customHeight="1" x14ac:dyDescent="0.2">
      <c r="A24" s="163" t="s">
        <v>195</v>
      </c>
      <c r="B24" s="164"/>
      <c r="C24" s="164"/>
      <c r="D24" s="164"/>
      <c r="E24" s="164"/>
      <c r="F24" s="164"/>
      <c r="G24" s="164"/>
      <c r="H24" s="164"/>
      <c r="I24" s="165"/>
    </row>
    <row r="25" spans="1:11" x14ac:dyDescent="0.2">
      <c r="A25" s="110"/>
      <c r="B25" s="110"/>
      <c r="C25" s="110"/>
      <c r="D25" s="110"/>
      <c r="E25" s="110"/>
      <c r="F25" s="110"/>
      <c r="G25" s="110"/>
      <c r="H25" s="110"/>
      <c r="I25" s="110"/>
    </row>
    <row r="26" spans="1:11" s="123" customFormat="1" ht="12.75" x14ac:dyDescent="0.2">
      <c r="A26" s="110"/>
      <c r="B26" s="156" t="s">
        <v>164</v>
      </c>
      <c r="C26" s="156"/>
      <c r="D26" s="156"/>
      <c r="E26" s="156"/>
      <c r="F26" s="156"/>
      <c r="G26" s="156"/>
      <c r="H26" s="156"/>
      <c r="I26" s="121"/>
      <c r="J26" s="122"/>
      <c r="K26" s="122"/>
    </row>
  </sheetData>
  <mergeCells count="30">
    <mergeCell ref="H7:H8"/>
    <mergeCell ref="I7:I8"/>
    <mergeCell ref="A1:I1"/>
    <mergeCell ref="A2:I2"/>
    <mergeCell ref="A4:G4"/>
    <mergeCell ref="H4:I4"/>
    <mergeCell ref="A5:G5"/>
    <mergeCell ref="H5:I5"/>
    <mergeCell ref="A14:D14"/>
    <mergeCell ref="A7:D8"/>
    <mergeCell ref="E7:E8"/>
    <mergeCell ref="F7:F8"/>
    <mergeCell ref="G7:G8"/>
    <mergeCell ref="A9:D9"/>
    <mergeCell ref="A10:D10"/>
    <mergeCell ref="A11:D11"/>
    <mergeCell ref="A12:D12"/>
    <mergeCell ref="A13:D13"/>
    <mergeCell ref="B26:H26"/>
    <mergeCell ref="A15:D15"/>
    <mergeCell ref="A16:D16"/>
    <mergeCell ref="A17:D17"/>
    <mergeCell ref="A18:D18"/>
    <mergeCell ref="G18:I18"/>
    <mergeCell ref="A19:I19"/>
    <mergeCell ref="C21:C22"/>
    <mergeCell ref="D21:F21"/>
    <mergeCell ref="G21:G22"/>
    <mergeCell ref="D22:F22"/>
    <mergeCell ref="A24:I24"/>
  </mergeCells>
  <conditionalFormatting sqref="A17:D17">
    <cfRule type="expression" dxfId="7" priority="8" stopIfTrue="1">
      <formula>$H$5="Não"</formula>
    </cfRule>
  </conditionalFormatting>
  <conditionalFormatting sqref="E17:F17">
    <cfRule type="expression" dxfId="6" priority="7" stopIfTrue="1">
      <formula>$H$5="Não"</formula>
    </cfRule>
  </conditionalFormatting>
  <conditionalFormatting sqref="G9:I17">
    <cfRule type="expression" dxfId="5" priority="6" stopIfTrue="1">
      <formula>$A$5=#REF!</formula>
    </cfRule>
  </conditionalFormatting>
  <conditionalFormatting sqref="A18:F18">
    <cfRule type="expression" dxfId="4" priority="5" stopIfTrue="1">
      <formula>$H$5="sim"</formula>
    </cfRule>
  </conditionalFormatting>
  <conditionalFormatting sqref="G18:I18">
    <cfRule type="expression" dxfId="3" priority="4" stopIfTrue="1">
      <formula>$H$5="sim"</formula>
    </cfRule>
  </conditionalFormatting>
  <conditionalFormatting sqref="G26:H26">
    <cfRule type="cellIs" dxfId="2" priority="1" operator="equal">
      <formula>"OK"</formula>
    </cfRule>
    <cfRule type="cellIs" dxfId="1" priority="2" operator="equal">
      <formula>"FORA DO LIMITE"</formula>
    </cfRule>
    <cfRule type="cellIs" dxfId="0" priority="3" operator="equal">
      <formula>"Deixar em branco o campo ao lado"</formula>
    </cfRule>
  </conditionalFormatting>
  <dataValidations count="1">
    <dataValidation operator="equal" allowBlank="1" showErrorMessage="1" errorTitle="Atenção" error="Alíquota de recolhimento da contribuição previdenciária deve ser de 2%." sqref="F26" xr:uid="{00000000-0002-0000-0500-000000000000}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8</vt:i4>
      </vt:variant>
    </vt:vector>
  </HeadingPairs>
  <TitlesOfParts>
    <vt:vector size="14" baseType="lpstr">
      <vt:lpstr>Orçamento Follador</vt:lpstr>
      <vt:lpstr>Orçamento Bucior</vt:lpstr>
      <vt:lpstr>Orçamento Wawruch</vt:lpstr>
      <vt:lpstr>Cronograma</vt:lpstr>
      <vt:lpstr>BDI</vt:lpstr>
      <vt:lpstr>Plan1</vt:lpstr>
      <vt:lpstr>BDI!Area_de_impressao</vt:lpstr>
      <vt:lpstr>Cronograma!Area_de_impressao</vt:lpstr>
      <vt:lpstr>'Orçamento Bucior'!Area_de_impressao</vt:lpstr>
      <vt:lpstr>'Orçamento Follador'!Area_de_impressao</vt:lpstr>
      <vt:lpstr>'Orçamento Wawruch'!Area_de_impressao</vt:lpstr>
      <vt:lpstr>'Orçamento Wawruch'!OLE_LINK2</vt:lpstr>
      <vt:lpstr>'Orçamento Wawruch'!OLE_LINK3</vt:lpstr>
      <vt:lpstr>'Orçamento Wawruch'!OLE_LINK6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Prefeitura BC</dc:creator>
  <dc:description/>
  <cp:lastModifiedBy>USER</cp:lastModifiedBy>
  <cp:revision>64</cp:revision>
  <cp:lastPrinted>2024-03-12T14:22:38Z</cp:lastPrinted>
  <dcterms:created xsi:type="dcterms:W3CDTF">2006-09-16T00:00:00Z</dcterms:created>
  <dcterms:modified xsi:type="dcterms:W3CDTF">2024-04-16T20:03:04Z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